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ml.chartshapes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atti\MSU\UP314\SEP\"/>
    </mc:Choice>
  </mc:AlternateContent>
  <xr:revisionPtr revIDLastSave="0" documentId="13_ncr:1_{9E4968FB-8D52-4E5B-AA93-A5E6F2D49CEA}" xr6:coauthVersionLast="46" xr6:coauthVersionMax="46" xr10:uidLastSave="{00000000-0000-0000-0000-000000000000}"/>
  <bookViews>
    <workbookView xWindow="2640" yWindow="1140" windowWidth="25335" windowHeight="14190" xr2:uid="{7BC41A2C-5ECD-4608-8DB3-0A86926EDA32}"/>
  </bookViews>
  <sheets>
    <sheet name="All Data" sheetId="1" r:id="rId1"/>
    <sheet name="Demographic" sheetId="5" r:id="rId2"/>
    <sheet name="Housing" sheetId="2" r:id="rId3"/>
    <sheet name="Education" sheetId="3" r:id="rId4"/>
    <sheet name="Economic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80" i="1" l="1"/>
  <c r="O80" i="1"/>
  <c r="N80" i="1"/>
  <c r="L80" i="1"/>
  <c r="K80" i="1"/>
  <c r="J80" i="1"/>
  <c r="H80" i="1"/>
  <c r="G80" i="1"/>
  <c r="F80" i="1"/>
  <c r="P79" i="1"/>
  <c r="O79" i="1"/>
  <c r="N79" i="1"/>
  <c r="L79" i="1"/>
  <c r="K79" i="1"/>
  <c r="J79" i="1"/>
  <c r="H79" i="1"/>
  <c r="G79" i="1"/>
  <c r="F79" i="1"/>
  <c r="P78" i="1"/>
  <c r="O78" i="1"/>
  <c r="N78" i="1"/>
  <c r="L78" i="1"/>
  <c r="K78" i="1"/>
  <c r="J78" i="1"/>
  <c r="H78" i="1"/>
  <c r="G78" i="1"/>
  <c r="F78" i="1"/>
  <c r="P77" i="1"/>
  <c r="O77" i="1"/>
  <c r="N77" i="1"/>
  <c r="L77" i="1"/>
  <c r="K77" i="1"/>
  <c r="J77" i="1"/>
  <c r="H77" i="1"/>
  <c r="G77" i="1"/>
  <c r="F77" i="1"/>
  <c r="P76" i="1"/>
  <c r="O76" i="1"/>
  <c r="N76" i="1"/>
  <c r="L76" i="1"/>
  <c r="K76" i="1"/>
  <c r="J76" i="1"/>
  <c r="H76" i="1"/>
  <c r="G76" i="1"/>
  <c r="F76" i="1"/>
  <c r="P74" i="1"/>
  <c r="O74" i="1"/>
  <c r="N74" i="1"/>
  <c r="L74" i="1"/>
  <c r="K74" i="1"/>
  <c r="J74" i="1"/>
  <c r="H74" i="1"/>
  <c r="G74" i="1"/>
  <c r="F74" i="1"/>
  <c r="P73" i="1"/>
  <c r="O73" i="1"/>
  <c r="N73" i="1"/>
  <c r="L73" i="1"/>
  <c r="K73" i="1"/>
  <c r="J73" i="1"/>
  <c r="H73" i="1"/>
  <c r="G73" i="1"/>
  <c r="F73" i="1"/>
  <c r="P72" i="1"/>
  <c r="O72" i="1"/>
  <c r="N72" i="1"/>
  <c r="L72" i="1"/>
  <c r="K72" i="1"/>
  <c r="J72" i="1"/>
  <c r="H72" i="1"/>
  <c r="G72" i="1"/>
  <c r="F72" i="1"/>
  <c r="P71" i="1"/>
  <c r="O71" i="1"/>
  <c r="N71" i="1"/>
  <c r="L71" i="1"/>
  <c r="K71" i="1"/>
  <c r="J71" i="1"/>
  <c r="H71" i="1"/>
  <c r="G71" i="1"/>
  <c r="F71" i="1"/>
  <c r="P70" i="1"/>
  <c r="O70" i="1"/>
  <c r="N70" i="1"/>
  <c r="L70" i="1"/>
  <c r="K70" i="1"/>
  <c r="J70" i="1"/>
  <c r="H70" i="1"/>
  <c r="G70" i="1"/>
  <c r="F70" i="1"/>
  <c r="P69" i="1"/>
  <c r="O69" i="1"/>
  <c r="N69" i="1"/>
  <c r="L69" i="1"/>
  <c r="K69" i="1"/>
  <c r="J69" i="1"/>
  <c r="H69" i="1"/>
  <c r="G69" i="1"/>
  <c r="F69" i="1"/>
  <c r="P68" i="1"/>
  <c r="O68" i="1"/>
  <c r="N68" i="1"/>
  <c r="L68" i="1"/>
  <c r="K68" i="1"/>
  <c r="J68" i="1"/>
  <c r="H68" i="1"/>
  <c r="G68" i="1"/>
  <c r="F68" i="1"/>
  <c r="P67" i="1"/>
  <c r="O67" i="1"/>
  <c r="N67" i="1"/>
  <c r="L67" i="1"/>
  <c r="K67" i="1"/>
  <c r="J67" i="1"/>
  <c r="H67" i="1"/>
  <c r="G67" i="1"/>
  <c r="F67" i="1"/>
  <c r="P66" i="1"/>
  <c r="O66" i="1"/>
  <c r="N66" i="1"/>
  <c r="L66" i="1"/>
  <c r="K66" i="1"/>
  <c r="J66" i="1"/>
  <c r="H66" i="1"/>
  <c r="G66" i="1"/>
  <c r="F66" i="1"/>
  <c r="P65" i="1"/>
  <c r="O65" i="1"/>
  <c r="N65" i="1"/>
  <c r="L65" i="1"/>
  <c r="K65" i="1"/>
  <c r="J65" i="1"/>
  <c r="H65" i="1"/>
  <c r="G65" i="1"/>
  <c r="F65" i="1"/>
  <c r="P64" i="1"/>
  <c r="O64" i="1"/>
  <c r="N64" i="1"/>
  <c r="L64" i="1"/>
  <c r="K64" i="1"/>
  <c r="J64" i="1"/>
  <c r="H64" i="1"/>
  <c r="G64" i="1"/>
  <c r="F64" i="1"/>
  <c r="P63" i="1"/>
  <c r="O63" i="1"/>
  <c r="N63" i="1"/>
  <c r="L63" i="1"/>
  <c r="K63" i="1"/>
  <c r="J63" i="1"/>
  <c r="H63" i="1"/>
  <c r="G63" i="1"/>
  <c r="F63" i="1"/>
  <c r="P62" i="1"/>
  <c r="O62" i="1"/>
  <c r="N62" i="1"/>
  <c r="L62" i="1"/>
  <c r="K62" i="1"/>
  <c r="J62" i="1"/>
  <c r="H62" i="1"/>
  <c r="G62" i="1"/>
  <c r="F62" i="1"/>
  <c r="P48" i="1"/>
  <c r="O48" i="1"/>
  <c r="N48" i="1"/>
  <c r="P47" i="1"/>
  <c r="O47" i="1"/>
  <c r="N47" i="1"/>
  <c r="L48" i="1"/>
  <c r="K48" i="1"/>
  <c r="J48" i="1"/>
  <c r="L47" i="1"/>
  <c r="K47" i="1"/>
  <c r="J47" i="1"/>
  <c r="H48" i="1"/>
  <c r="G48" i="1"/>
  <c r="F48" i="1"/>
  <c r="H47" i="1"/>
  <c r="G47" i="1"/>
  <c r="F47" i="1"/>
  <c r="P36" i="1"/>
  <c r="H36" i="1"/>
  <c r="D36" i="1"/>
  <c r="P35" i="1"/>
  <c r="L35" i="1"/>
  <c r="H35" i="1"/>
  <c r="P34" i="1"/>
  <c r="L34" i="1"/>
  <c r="H34" i="1"/>
  <c r="P33" i="1"/>
  <c r="L33" i="1"/>
  <c r="H33" i="1"/>
  <c r="P32" i="1"/>
  <c r="L32" i="1"/>
  <c r="H32" i="1"/>
  <c r="P31" i="1"/>
  <c r="L31" i="1"/>
  <c r="H31" i="1"/>
  <c r="P30" i="1"/>
  <c r="L30" i="1"/>
  <c r="H30" i="1"/>
  <c r="P29" i="1"/>
  <c r="L29" i="1"/>
  <c r="H29" i="1"/>
  <c r="P28" i="1"/>
  <c r="L28" i="1"/>
  <c r="H28" i="1"/>
  <c r="L27" i="1"/>
  <c r="H27" i="1"/>
  <c r="L26" i="1"/>
  <c r="L36" i="1" s="1"/>
  <c r="H26" i="1"/>
  <c r="D35" i="1"/>
  <c r="D34" i="1"/>
  <c r="D33" i="1"/>
  <c r="D32" i="1"/>
  <c r="D31" i="1"/>
  <c r="D30" i="1"/>
  <c r="D29" i="1"/>
  <c r="D28" i="1"/>
  <c r="D27" i="1"/>
  <c r="D26" i="1"/>
  <c r="P14" i="1"/>
  <c r="O14" i="1"/>
  <c r="N14" i="1"/>
  <c r="L14" i="1"/>
  <c r="K14" i="1"/>
  <c r="J14" i="1"/>
  <c r="H14" i="1"/>
  <c r="G14" i="1"/>
  <c r="F14" i="1"/>
  <c r="O13" i="1"/>
  <c r="N13" i="1"/>
  <c r="K13" i="1"/>
  <c r="J13" i="1"/>
  <c r="H13" i="1"/>
  <c r="G13" i="1"/>
  <c r="F13" i="1"/>
  <c r="P12" i="1"/>
  <c r="O12" i="1"/>
  <c r="N12" i="1"/>
  <c r="K12" i="1"/>
  <c r="J12" i="1"/>
  <c r="H12" i="1"/>
  <c r="G12" i="1"/>
  <c r="F12" i="1"/>
  <c r="P11" i="1"/>
  <c r="O11" i="1"/>
  <c r="N11" i="1"/>
  <c r="K11" i="1"/>
  <c r="J11" i="1"/>
  <c r="H11" i="1"/>
  <c r="G11" i="1"/>
  <c r="F11" i="1"/>
  <c r="P10" i="1"/>
  <c r="O10" i="1"/>
  <c r="N10" i="1"/>
  <c r="L10" i="1"/>
  <c r="K10" i="1"/>
  <c r="J10" i="1"/>
  <c r="H10" i="1"/>
  <c r="G10" i="1"/>
  <c r="F10" i="1"/>
  <c r="P8" i="1"/>
  <c r="O8" i="1"/>
  <c r="N8" i="1"/>
  <c r="L8" i="1"/>
  <c r="K8" i="1"/>
  <c r="J8" i="1"/>
  <c r="H8" i="1"/>
  <c r="G8" i="1"/>
  <c r="F8" i="1"/>
  <c r="P7" i="1"/>
  <c r="O7" i="1"/>
  <c r="N7" i="1"/>
  <c r="L7" i="1"/>
  <c r="K7" i="1"/>
  <c r="J7" i="1"/>
  <c r="H7" i="1"/>
  <c r="G7" i="1"/>
  <c r="F7" i="1"/>
  <c r="C48" i="1" l="1"/>
  <c r="D48" i="1"/>
  <c r="B48" i="1"/>
  <c r="C47" i="1"/>
  <c r="D47" i="1"/>
  <c r="B47" i="1"/>
  <c r="O5" i="4"/>
  <c r="P5" i="4"/>
  <c r="N5" i="4"/>
  <c r="K5" i="4"/>
  <c r="L5" i="4"/>
  <c r="J5" i="4"/>
  <c r="G5" i="4"/>
  <c r="H5" i="4"/>
  <c r="F5" i="4"/>
  <c r="C5" i="4"/>
  <c r="D5" i="4"/>
  <c r="B5" i="4"/>
  <c r="P7" i="5"/>
  <c r="O7" i="5"/>
  <c r="N7" i="5"/>
  <c r="L7" i="5"/>
  <c r="K7" i="5"/>
  <c r="J7" i="5"/>
  <c r="H7" i="5"/>
  <c r="G7" i="5"/>
  <c r="F7" i="5"/>
  <c r="D7" i="5"/>
  <c r="C7" i="5"/>
  <c r="B7" i="5"/>
  <c r="B93" i="3" l="1"/>
  <c r="C93" i="3"/>
  <c r="G68" i="3"/>
  <c r="D68" i="3"/>
  <c r="BS68" i="3"/>
  <c r="BJ68" i="3"/>
  <c r="B40" i="3"/>
  <c r="F40" i="3"/>
  <c r="I5" i="3"/>
  <c r="B23" i="3"/>
  <c r="I28" i="3"/>
  <c r="F23" i="3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N7" i="2"/>
  <c r="J7" i="2"/>
  <c r="F7" i="2"/>
  <c r="B7" i="2"/>
  <c r="N23" i="1"/>
  <c r="J23" i="1"/>
  <c r="F23" i="1"/>
  <c r="B23" i="1"/>
  <c r="H40" i="3" l="1"/>
  <c r="H23" i="3"/>
</calcChain>
</file>

<file path=xl/sharedStrings.xml><?xml version="1.0" encoding="utf-8"?>
<sst xmlns="http://schemas.openxmlformats.org/spreadsheetml/2006/main" count="631" uniqueCount="237">
  <si>
    <t>Total Population</t>
  </si>
  <si>
    <t>Median Age</t>
  </si>
  <si>
    <t>Pop Density</t>
  </si>
  <si>
    <t>Gender</t>
  </si>
  <si>
    <t xml:space="preserve">  White</t>
  </si>
  <si>
    <t xml:space="preserve">  Black</t>
  </si>
  <si>
    <t xml:space="preserve">  Asian/Pacific Islander</t>
  </si>
  <si>
    <t xml:space="preserve">  Native American</t>
  </si>
  <si>
    <t xml:space="preserve">  Other</t>
  </si>
  <si>
    <t>Avg. Houshold Size</t>
  </si>
  <si>
    <t>Avg. Family Size</t>
  </si>
  <si>
    <t>Housing</t>
  </si>
  <si>
    <t>Median Home Value</t>
  </si>
  <si>
    <t>Median Rent</t>
  </si>
  <si>
    <t>Total Housing Units</t>
  </si>
  <si>
    <t>Occupied Housing</t>
  </si>
  <si>
    <t>Vacant Housing</t>
  </si>
  <si>
    <t>Vacancy Rate</t>
  </si>
  <si>
    <t>Education</t>
  </si>
  <si>
    <t>Dropout Rate</t>
  </si>
  <si>
    <t>Avg. Teacher Salary</t>
  </si>
  <si>
    <t>Student-Teacher Ratio</t>
  </si>
  <si>
    <t>Employed</t>
  </si>
  <si>
    <t>Unemployed</t>
  </si>
  <si>
    <t>% Bachelors or Higher</t>
  </si>
  <si>
    <t>Avg. Household Income</t>
  </si>
  <si>
    <t>Avg. Family Income</t>
  </si>
  <si>
    <t>Per capita Income</t>
  </si>
  <si>
    <t>% Families below poverty</t>
  </si>
  <si>
    <t xml:space="preserve">  % Male</t>
  </si>
  <si>
    <t xml:space="preserve">  % Female</t>
  </si>
  <si>
    <t xml:space="preserve">  Management</t>
  </si>
  <si>
    <t xml:space="preserve">  Service</t>
  </si>
  <si>
    <t xml:space="preserve">  Sales</t>
  </si>
  <si>
    <t xml:space="preserve">  Construction</t>
  </si>
  <si>
    <t xml:space="preserve">  Transportation</t>
  </si>
  <si>
    <t xml:space="preserve">  Built 2014 or later</t>
  </si>
  <si>
    <t xml:space="preserve">  Built 2010 - 2013</t>
  </si>
  <si>
    <t xml:space="preserve">  Built 2000 - 2009</t>
  </si>
  <si>
    <t xml:space="preserve">  Built 1990 - 1999</t>
  </si>
  <si>
    <t xml:space="preserve">  Built 1980 - 1989</t>
  </si>
  <si>
    <t xml:space="preserve">  Built 1970 - 1979</t>
  </si>
  <si>
    <t xml:space="preserve">  Built 1960 - 1969</t>
  </si>
  <si>
    <t xml:space="preserve">  Built 1950 - 1959</t>
  </si>
  <si>
    <t xml:space="preserve">  Built 1940 - 1949</t>
  </si>
  <si>
    <t xml:space="preserve">  Built 1939 or earlier</t>
  </si>
  <si>
    <t>Year Built (%)</t>
  </si>
  <si>
    <t>Avg. Commute time (mins)</t>
  </si>
  <si>
    <t xml:space="preserve">  Agriculture</t>
  </si>
  <si>
    <t xml:space="preserve">  Manufacturing</t>
  </si>
  <si>
    <t xml:space="preserve">  Wholesale Trade</t>
  </si>
  <si>
    <t xml:space="preserve">  Retail Trade</t>
  </si>
  <si>
    <t xml:space="preserve">  Information</t>
  </si>
  <si>
    <t xml:space="preserve">  Finance</t>
  </si>
  <si>
    <t xml:space="preserve">  Professional</t>
  </si>
  <si>
    <t xml:space="preserve">  Education and Health care</t>
  </si>
  <si>
    <t xml:space="preserve">  Arts</t>
  </si>
  <si>
    <t xml:space="preserve">  Public Administration</t>
  </si>
  <si>
    <t>Industry (empl. &gt;=16 yrs)</t>
  </si>
  <si>
    <t>Ingham 2000</t>
  </si>
  <si>
    <t>Ingham 2010</t>
  </si>
  <si>
    <t>Ingham 2019</t>
  </si>
  <si>
    <t>Haslett 2000</t>
  </si>
  <si>
    <t>Haslett 2010</t>
  </si>
  <si>
    <t>Haslett 2019</t>
  </si>
  <si>
    <t>Webberville 2000</t>
  </si>
  <si>
    <t>Webberville 2010</t>
  </si>
  <si>
    <t>Webberville 2019</t>
  </si>
  <si>
    <t>Williamston 2000</t>
  </si>
  <si>
    <t>Williamston 2010</t>
  </si>
  <si>
    <t>Williamston 2019</t>
  </si>
  <si>
    <t>Ingham County</t>
  </si>
  <si>
    <t>Williamston</t>
  </si>
  <si>
    <t>Haslett</t>
  </si>
  <si>
    <t>Webberville</t>
  </si>
  <si>
    <t>Time (Years)</t>
  </si>
  <si>
    <t>Race %</t>
  </si>
  <si>
    <t>Economic (2000 DEC, 2010 &amp; 2019 ASC)</t>
  </si>
  <si>
    <t>8558 (5.7%)</t>
  </si>
  <si>
    <t>13153 (8.9%)</t>
  </si>
  <si>
    <t>10231 (6.7%)</t>
  </si>
  <si>
    <t>Labor Force (civilian 16+ years)</t>
  </si>
  <si>
    <t>Population 16 yrs +</t>
  </si>
  <si>
    <t>Occupation (empl. &gt;=16 yrs) USE census.gov</t>
  </si>
  <si>
    <t>Vacancy Rate (%)</t>
  </si>
  <si>
    <t>-</t>
  </si>
  <si>
    <t xml:space="preserve">- </t>
  </si>
  <si>
    <t>NA-don’t trust SE</t>
  </si>
  <si>
    <t>3.94% (2009-10)</t>
  </si>
  <si>
    <t>2.55% (2018-19)</t>
  </si>
  <si>
    <t>7.69% (2009-10)</t>
  </si>
  <si>
    <t>4.44% (2018-19)</t>
  </si>
  <si>
    <t>2.55% (2009-10)</t>
  </si>
  <si>
    <t>1.31% (2018-19) lowest off all schools in ISD</t>
  </si>
  <si>
    <t>NA</t>
  </si>
  <si>
    <t>22 (2011-12)</t>
  </si>
  <si>
    <t>22 (2018-19)</t>
  </si>
  <si>
    <t>23 (2011-12)</t>
  </si>
  <si>
    <t>19 (2018-19)</t>
  </si>
  <si>
    <t>20 (2011-12)</t>
  </si>
  <si>
    <t>21 (2018-19)</t>
  </si>
  <si>
    <t>21 (2011-12)</t>
  </si>
  <si>
    <t>https://www.mischooldata.org/graddropout-rate/</t>
  </si>
  <si>
    <t>2018-19 4-Year</t>
  </si>
  <si>
    <t>Total Graduated</t>
  </si>
  <si>
    <t>Dropouts</t>
  </si>
  <si>
    <t>Statewide</t>
  </si>
  <si>
    <t>Dansville Schools (33040)</t>
  </si>
  <si>
    <t>&lt;10</t>
  </si>
  <si>
    <t>East Lansing School District (33010)</t>
  </si>
  <si>
    <t>Haslett Public Schools (33060)</t>
  </si>
  <si>
    <t>Holt Public Schools (33070)</t>
  </si>
  <si>
    <t>Lansing Public School District (33020)</t>
  </si>
  <si>
    <t>Leslie Public Schools (33100)</t>
  </si>
  <si>
    <t>Mason Public Schools (Ingham) (33130)</t>
  </si>
  <si>
    <t>Okemos Public Schools (33170)</t>
  </si>
  <si>
    <t>Stockbridge Community Schools (33200)</t>
  </si>
  <si>
    <t>Waverly Community Schools (33215)</t>
  </si>
  <si>
    <t>Webberville Community Schools (33220)</t>
  </si>
  <si>
    <t>Williamston Community Schools (33230)</t>
  </si>
  <si>
    <t>Blended Learning Academies Credit Recovery High School (33915)</t>
  </si>
  <si>
    <t>Great Lakes Cyber Academy (33914)</t>
  </si>
  <si>
    <t>Michigan Connections Academy (33911)</t>
  </si>
  <si>
    <t>NexTech High School of Lansing (33913)</t>
  </si>
  <si>
    <t>Ingham ISD - District created from ISD (33000)</t>
  </si>
  <si>
    <t>N/A</t>
  </si>
  <si>
    <t>2009-10 4 year</t>
  </si>
  <si>
    <t>Total Cohort</t>
  </si>
  <si>
    <t>Other Completer (GED, etc.)</t>
  </si>
  <si>
    <t>Off-Track Continuing</t>
  </si>
  <si>
    <t>Graduation Rate</t>
  </si>
  <si>
    <t>13.38% (2009-10)</t>
  </si>
  <si>
    <t>9.89% (2018-19)</t>
  </si>
  <si>
    <t>Note-needed to enlarge the default chart in order to see all the schools!</t>
  </si>
  <si>
    <t>https://www.michigan.gov/mde/0,4615,7-140-6605-21514--,00.html</t>
  </si>
  <si>
    <t>District Name</t>
  </si>
  <si>
    <t>DistCounty</t>
  </si>
  <si>
    <t>T SAL</t>
  </si>
  <si>
    <t>AVG T SAL</t>
  </si>
  <si>
    <t>RNK NHSEV</t>
  </si>
  <si>
    <t>Teacher FTE</t>
  </si>
  <si>
    <t>AVG P TCHR</t>
  </si>
  <si>
    <t>East Lansing School District</t>
  </si>
  <si>
    <t>INGHAM</t>
  </si>
  <si>
    <t>Lansing Public School District</t>
  </si>
  <si>
    <t>Dansville Schools</t>
  </si>
  <si>
    <t>Haslett Public Schools</t>
  </si>
  <si>
    <t>Holt Public Schools</t>
  </si>
  <si>
    <t>Leslie Public Schools</t>
  </si>
  <si>
    <t>Mason Public Schools (Ingham)</t>
  </si>
  <si>
    <t>Okemos Public Schools</t>
  </si>
  <si>
    <t>Stockbridge Community Schools</t>
  </si>
  <si>
    <t>Waverly Community Schools</t>
  </si>
  <si>
    <t>Webberville Community Schools</t>
  </si>
  <si>
    <t>Williamston Community Schools</t>
  </si>
  <si>
    <t>Cole Academy</t>
  </si>
  <si>
    <t>El-Hajj Malik El-Shabazz Academy</t>
  </si>
  <si>
    <t>Mid-Michigan Leadership Academy</t>
  </si>
  <si>
    <t>White Pine Academy</t>
  </si>
  <si>
    <t>Windemere Park Charter Academy</t>
  </si>
  <si>
    <t>Lansing Charter Academy</t>
  </si>
  <si>
    <t>Michigan Connections Academy</t>
  </si>
  <si>
    <t>NexTech High School of Lansing</t>
  </si>
  <si>
    <t>Great Lakes Cyber Academy</t>
  </si>
  <si>
    <t>Blended Learning Academies Credit Recovery High School</t>
  </si>
  <si>
    <t>Average Teacher Salary</t>
  </si>
  <si>
    <t>Pupil to Teacher</t>
  </si>
  <si>
    <t>https://mdoe.state.mi.us/SAMSPublic/others/Bulletin1014Export19.xlsx</t>
  </si>
  <si>
    <t>2018-19</t>
  </si>
  <si>
    <t>2011-12</t>
  </si>
  <si>
    <t xml:space="preserve">Stockbridge Community Schools </t>
  </si>
  <si>
    <t>Mason Public Schools</t>
  </si>
  <si>
    <t>% of childer under 18 below poverty</t>
  </si>
  <si>
    <t>8,558 (5.7%)</t>
  </si>
  <si>
    <t>13,153 (8.9%)</t>
  </si>
  <si>
    <t>10,231 (6.7%)</t>
  </si>
  <si>
    <t>$54,506 (2011-12)</t>
  </si>
  <si>
    <t>$56,844 (2018-19)</t>
  </si>
  <si>
    <t>$60,176 (2011-12)</t>
  </si>
  <si>
    <t>$54,766 (2018-19)</t>
  </si>
  <si>
    <t>$43,671 (2011-12)</t>
  </si>
  <si>
    <t>$38,287 (2018-19)</t>
  </si>
  <si>
    <t>$58,504 (2011-12)</t>
  </si>
  <si>
    <t>$56,645 (2018-19)</t>
  </si>
  <si>
    <t>Civilian Labor Force ( population&gt;=16 yrs in labor force)</t>
  </si>
  <si>
    <t>Employed (Labor Force Participation Rate 16+) (%)</t>
  </si>
  <si>
    <t>Unemployment Rate (Unemployed 16+/Labor Force) (%)</t>
  </si>
  <si>
    <t>165 (2.6%)</t>
  </si>
  <si>
    <t>610 (5.4%)</t>
  </si>
  <si>
    <t>348 (3.3%)</t>
  </si>
  <si>
    <t>33 (4.0%)</t>
  </si>
  <si>
    <t>38 (5.2%)</t>
  </si>
  <si>
    <t>48 (6.8%)</t>
  </si>
  <si>
    <t>53 (3.1%)</t>
  </si>
  <si>
    <t>55 (2.6%)</t>
  </si>
  <si>
    <t>61 (2.8%)</t>
  </si>
  <si>
    <t>Haslett CDP 2000</t>
  </si>
  <si>
    <t>Haslett CDP 2010</t>
  </si>
  <si>
    <t>Haslett CDP 2019</t>
  </si>
  <si>
    <t>Webberville village 2000</t>
  </si>
  <si>
    <t>Webberville village 2010</t>
  </si>
  <si>
    <t>Webberville village 2019</t>
  </si>
  <si>
    <t>Willamston city 2000</t>
  </si>
  <si>
    <t>Williamston city 2010</t>
  </si>
  <si>
    <t>Williamston city 2019</t>
  </si>
  <si>
    <t>Median Household Income</t>
  </si>
  <si>
    <t>Median Family Income</t>
  </si>
  <si>
    <t>Per Capita Income</t>
  </si>
  <si>
    <t>Avg. Household Income ($)</t>
  </si>
  <si>
    <t>Avg. Family Income ($)</t>
  </si>
  <si>
    <t>Per capita Income ($)</t>
  </si>
  <si>
    <t>Pop density</t>
  </si>
  <si>
    <t>Growth Rates</t>
  </si>
  <si>
    <t>2000 to 2019</t>
  </si>
  <si>
    <t>2000 to 2010</t>
  </si>
  <si>
    <t>2010 to 2019</t>
  </si>
  <si>
    <t>Ingham</t>
  </si>
  <si>
    <t>Growth (%)</t>
  </si>
  <si>
    <t>Population Density</t>
  </si>
  <si>
    <t>Race Composition for Williamston 2019</t>
  </si>
  <si>
    <t>% Employed</t>
  </si>
  <si>
    <t>Civilian Labor Force</t>
  </si>
  <si>
    <t>% Employed (Employed/Civilian Labor Force)</t>
  </si>
  <si>
    <t>% Unemployed</t>
  </si>
  <si>
    <t>Industry</t>
  </si>
  <si>
    <t>% Employed of Populatin 16 yrs +</t>
  </si>
  <si>
    <t>% Employed of Civilian Labor Force</t>
  </si>
  <si>
    <t>Mode of Travel</t>
  </si>
  <si>
    <t xml:space="preserve">  Other means</t>
  </si>
  <si>
    <t xml:space="preserve">  Car, Truck, or Van - Drove Alone</t>
  </si>
  <si>
    <t xml:space="preserve">  Car, Truck, or Van - Carpooled</t>
  </si>
  <si>
    <t xml:space="preserve">  Public transportation (excluding taxi)</t>
  </si>
  <si>
    <t>Industry (2019)</t>
  </si>
  <si>
    <t>same data as above just sorted on Williamston results lowest to highest then chart</t>
  </si>
  <si>
    <t>Sort the individual schools from highest to lowest dropout rate</t>
  </si>
  <si>
    <t>checksum</t>
  </si>
  <si>
    <t>Demographic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</si>
</sst>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409]0;\(0\)"/>
    <numFmt numFmtId="165" formatCode="_(* #,##0_);_(* \(#,##0\);_(* &quot;-&quot;??_);_(@_)"/>
    <numFmt numFmtId="166" formatCode="_(&quot;$&quot;* #,##0_);_(&quot;$&quot;* \(#,##0\);_(&quot;$&quot;* &quot;-&quot;??_);_(@_)"/>
    <numFmt numFmtId="167" formatCode="0.0"/>
    <numFmt numFmtId="168" formatCode="0.0%"/>
    <numFmt numFmtId="169" formatCode="_(* #,##0.0_);_(* \(#,##0.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292B2C"/>
      <name val="Arial"/>
      <family val="2"/>
    </font>
    <font>
      <sz val="11.55"/>
      <color rgb="FF272522"/>
      <name val="Arial"/>
      <family val="2"/>
    </font>
    <font>
      <sz val="11.55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name val="Arial"/>
      <family val="2"/>
    </font>
    <font>
      <sz val="8"/>
      <color indexed="8"/>
      <name val="Arial"/>
      <family val="2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D150"/>
        <bgColor indexed="64"/>
      </patternFill>
    </fill>
    <fill>
      <patternFill patternType="solid">
        <fgColor rgb="FFEDEF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2"/>
        <bgColor indexed="64"/>
      </patternFill>
    </fill>
  </fills>
  <borders count="12">
    <border>
      <left/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/>
      <right style="thin">
        <color rgb="FFC0C0C0"/>
      </right>
      <top/>
      <bottom style="thin">
        <color rgb="FFC0C0C0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4" fillId="0" borderId="0" applyFont="0" applyFill="0" applyBorder="0" applyAlignment="0" applyProtection="0"/>
    <xf numFmtId="0" fontId="1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01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Font="1"/>
    <xf numFmtId="0" fontId="0" fillId="2" borderId="0" xfId="0" applyFill="1" applyAlignment="1">
      <alignment wrapText="1"/>
    </xf>
    <xf numFmtId="0" fontId="0" fillId="2" borderId="0" xfId="0" applyFill="1"/>
    <xf numFmtId="0" fontId="3" fillId="0" borderId="0" xfId="0" applyFont="1"/>
    <xf numFmtId="10" fontId="0" fillId="0" borderId="0" xfId="1" applyNumberFormat="1" applyFont="1"/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0" fontId="0" fillId="3" borderId="0" xfId="0" applyFill="1"/>
    <xf numFmtId="0" fontId="0" fillId="0" borderId="0" xfId="0" quotePrefix="1"/>
    <xf numFmtId="2" fontId="0" fillId="0" borderId="0" xfId="0" applyNumberFormat="1"/>
    <xf numFmtId="10" fontId="0" fillId="0" borderId="0" xfId="0" applyNumberFormat="1"/>
    <xf numFmtId="0" fontId="6" fillId="4" borderId="1" xfId="0" applyFont="1" applyFill="1" applyBorder="1" applyAlignment="1">
      <alignment horizontal="left" vertical="center" wrapText="1" indent="1"/>
    </xf>
    <xf numFmtId="3" fontId="6" fillId="4" borderId="1" xfId="0" applyNumberFormat="1" applyFont="1" applyFill="1" applyBorder="1" applyAlignment="1">
      <alignment horizontal="left" vertical="center" wrapText="1" indent="1"/>
    </xf>
    <xf numFmtId="10" fontId="6" fillId="4" borderId="1" xfId="0" applyNumberFormat="1" applyFont="1" applyFill="1" applyBorder="1" applyAlignment="1">
      <alignment horizontal="left" vertical="center" wrapText="1" indent="1"/>
    </xf>
    <xf numFmtId="0" fontId="6" fillId="5" borderId="1" xfId="0" applyFont="1" applyFill="1" applyBorder="1" applyAlignment="1">
      <alignment horizontal="left" vertical="center" wrapText="1" indent="1"/>
    </xf>
    <xf numFmtId="10" fontId="6" fillId="5" borderId="1" xfId="0" applyNumberFormat="1" applyFont="1" applyFill="1" applyBorder="1" applyAlignment="1">
      <alignment horizontal="left" vertical="center" wrapText="1" indent="1"/>
    </xf>
    <xf numFmtId="0" fontId="6" fillId="6" borderId="1" xfId="0" applyFont="1" applyFill="1" applyBorder="1" applyAlignment="1">
      <alignment horizontal="left" vertical="center" wrapText="1" indent="1"/>
    </xf>
    <xf numFmtId="10" fontId="6" fillId="6" borderId="1" xfId="0" applyNumberFormat="1" applyFont="1" applyFill="1" applyBorder="1" applyAlignment="1">
      <alignment horizontal="left" vertical="center" wrapText="1" indent="1"/>
    </xf>
    <xf numFmtId="0" fontId="7" fillId="4" borderId="1" xfId="0" applyFont="1" applyFill="1" applyBorder="1" applyAlignment="1">
      <alignment horizontal="left" vertical="center" wrapText="1" indent="1"/>
    </xf>
    <xf numFmtId="3" fontId="7" fillId="4" borderId="1" xfId="0" applyNumberFormat="1" applyFont="1" applyFill="1" applyBorder="1" applyAlignment="1">
      <alignment horizontal="left" vertical="center" wrapText="1" indent="1"/>
    </xf>
    <xf numFmtId="10" fontId="7" fillId="4" borderId="1" xfId="0" applyNumberFormat="1" applyFont="1" applyFill="1" applyBorder="1" applyAlignment="1">
      <alignment horizontal="left" vertical="center" wrapText="1" indent="1"/>
    </xf>
    <xf numFmtId="0" fontId="7" fillId="5" borderId="1" xfId="0" applyFont="1" applyFill="1" applyBorder="1" applyAlignment="1">
      <alignment horizontal="left" vertical="center" wrapText="1" indent="1"/>
    </xf>
    <xf numFmtId="10" fontId="7" fillId="5" borderId="1" xfId="0" applyNumberFormat="1" applyFont="1" applyFill="1" applyBorder="1" applyAlignment="1">
      <alignment horizontal="left" vertical="center" wrapText="1" indent="1"/>
    </xf>
    <xf numFmtId="0" fontId="7" fillId="0" borderId="1" xfId="0" applyFont="1" applyBorder="1" applyAlignment="1">
      <alignment horizontal="left" vertical="center" wrapText="1" indent="1"/>
    </xf>
    <xf numFmtId="10" fontId="7" fillId="0" borderId="1" xfId="0" applyNumberFormat="1" applyFont="1" applyBorder="1" applyAlignment="1">
      <alignment horizontal="left" vertical="center" wrapText="1" indent="1"/>
    </xf>
    <xf numFmtId="3" fontId="7" fillId="5" borderId="1" xfId="0" applyNumberFormat="1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 indent="1"/>
    </xf>
    <xf numFmtId="10" fontId="6" fillId="7" borderId="1" xfId="0" applyNumberFormat="1" applyFont="1" applyFill="1" applyBorder="1" applyAlignment="1">
      <alignment horizontal="left" vertical="center" wrapText="1" indent="1"/>
    </xf>
    <xf numFmtId="10" fontId="0" fillId="7" borderId="0" xfId="1" applyNumberFormat="1" applyFont="1" applyFill="1"/>
    <xf numFmtId="10" fontId="7" fillId="7" borderId="1" xfId="0" applyNumberFormat="1" applyFont="1" applyFill="1" applyBorder="1" applyAlignment="1">
      <alignment horizontal="left" vertical="center" wrapText="1" indent="1"/>
    </xf>
    <xf numFmtId="0" fontId="8" fillId="0" borderId="3" xfId="0" applyFont="1" applyBorder="1" applyAlignment="1">
      <alignment horizontal="center" vertical="top" wrapText="1" readingOrder="1"/>
    </xf>
    <xf numFmtId="0" fontId="8" fillId="0" borderId="4" xfId="0" applyFont="1" applyBorder="1" applyAlignment="1">
      <alignment vertical="top" wrapText="1" readingOrder="1"/>
    </xf>
    <xf numFmtId="0" fontId="8" fillId="0" borderId="5" xfId="0" applyFont="1" applyBorder="1" applyAlignment="1">
      <alignment vertical="top" wrapText="1" readingOrder="1"/>
    </xf>
    <xf numFmtId="164" fontId="8" fillId="0" borderId="5" xfId="0" applyNumberFormat="1" applyFont="1" applyBorder="1" applyAlignment="1">
      <alignment vertical="top" wrapText="1" readingOrder="1"/>
    </xf>
    <xf numFmtId="164" fontId="8" fillId="7" borderId="5" xfId="0" applyNumberFormat="1" applyFont="1" applyFill="1" applyBorder="1" applyAlignment="1">
      <alignment vertical="top" wrapText="1" readingOrder="1"/>
    </xf>
    <xf numFmtId="0" fontId="8" fillId="0" borderId="5" xfId="0" applyFont="1" applyBorder="1" applyAlignment="1">
      <alignment horizontal="center" vertical="top" wrapText="1" readingOrder="1"/>
    </xf>
    <xf numFmtId="0" fontId="8" fillId="8" borderId="5" xfId="0" applyFont="1" applyFill="1" applyBorder="1" applyAlignment="1">
      <alignment vertical="top" wrapText="1" readingOrder="1"/>
    </xf>
    <xf numFmtId="164" fontId="9" fillId="0" borderId="5" xfId="0" applyNumberFormat="1" applyFont="1" applyBorder="1" applyAlignment="1">
      <alignment vertical="top" wrapText="1" readingOrder="1"/>
    </xf>
    <xf numFmtId="164" fontId="8" fillId="0" borderId="5" xfId="0" applyNumberFormat="1" applyFont="1" applyFill="1" applyBorder="1" applyAlignment="1">
      <alignment vertical="top" wrapText="1" readingOrder="1"/>
    </xf>
    <xf numFmtId="0" fontId="8" fillId="0" borderId="5" xfId="0" applyFont="1" applyFill="1" applyBorder="1" applyAlignment="1">
      <alignment vertical="top" wrapText="1" readingOrder="1"/>
    </xf>
    <xf numFmtId="2" fontId="8" fillId="0" borderId="5" xfId="0" applyNumberFormat="1" applyFont="1" applyBorder="1" applyAlignment="1">
      <alignment vertical="top" wrapText="1" readingOrder="1"/>
    </xf>
    <xf numFmtId="1" fontId="8" fillId="0" borderId="5" xfId="0" applyNumberFormat="1" applyFont="1" applyBorder="1" applyAlignment="1">
      <alignment vertical="top" wrapText="1" readingOrder="1"/>
    </xf>
    <xf numFmtId="0" fontId="8" fillId="0" borderId="0" xfId="0" applyFont="1" applyFill="1" applyBorder="1" applyAlignment="1">
      <alignment vertical="top" wrapText="1" readingOrder="1"/>
    </xf>
    <xf numFmtId="0" fontId="10" fillId="0" borderId="0" xfId="2"/>
    <xf numFmtId="0" fontId="11" fillId="0" borderId="6" xfId="2" applyFont="1" applyBorder="1" applyAlignment="1" applyProtection="1">
      <alignment horizontal="center" vertical="top" wrapText="1" readingOrder="1"/>
      <protection locked="0"/>
    </xf>
    <xf numFmtId="164" fontId="11" fillId="0" borderId="7" xfId="2" applyNumberFormat="1" applyFont="1" applyBorder="1" applyAlignment="1" applyProtection="1">
      <alignment vertical="top" wrapText="1" readingOrder="1"/>
      <protection locked="0"/>
    </xf>
    <xf numFmtId="164" fontId="11" fillId="7" borderId="7" xfId="2" applyNumberFormat="1" applyFont="1" applyFill="1" applyBorder="1" applyAlignment="1" applyProtection="1">
      <alignment vertical="top" wrapText="1" readingOrder="1"/>
      <protection locked="0"/>
    </xf>
    <xf numFmtId="0" fontId="10" fillId="0" borderId="0" xfId="2"/>
    <xf numFmtId="0" fontId="11" fillId="0" borderId="6" xfId="2" applyFont="1" applyBorder="1" applyAlignment="1" applyProtection="1">
      <alignment horizontal="center" vertical="top" wrapText="1" readingOrder="1"/>
      <protection locked="0"/>
    </xf>
    <xf numFmtId="0" fontId="11" fillId="0" borderId="7" xfId="2" applyFont="1" applyBorder="1" applyAlignment="1" applyProtection="1">
      <alignment vertical="top" wrapText="1" readingOrder="1"/>
      <protection locked="0"/>
    </xf>
    <xf numFmtId="0" fontId="11" fillId="0" borderId="0" xfId="2" applyFont="1" applyFill="1" applyBorder="1" applyAlignment="1" applyProtection="1">
      <alignment vertical="top" wrapText="1" readingOrder="1"/>
      <protection locked="0"/>
    </xf>
    <xf numFmtId="165" fontId="0" fillId="0" borderId="0" xfId="3" applyNumberFormat="1" applyFont="1"/>
    <xf numFmtId="165" fontId="5" fillId="0" borderId="0" xfId="3" applyNumberFormat="1" applyFont="1"/>
    <xf numFmtId="44" fontId="0" fillId="0" borderId="0" xfId="4" applyFont="1"/>
    <xf numFmtId="166" fontId="0" fillId="0" borderId="0" xfId="4" applyNumberFormat="1" applyFont="1"/>
    <xf numFmtId="167" fontId="0" fillId="0" borderId="0" xfId="0" applyNumberFormat="1"/>
    <xf numFmtId="165" fontId="0" fillId="2" borderId="0" xfId="3" applyNumberFormat="1" applyFont="1" applyFill="1"/>
    <xf numFmtId="44" fontId="0" fillId="2" borderId="0" xfId="4" applyFont="1" applyFill="1"/>
    <xf numFmtId="3" fontId="0" fillId="3" borderId="0" xfId="0" applyNumberFormat="1" applyFill="1"/>
    <xf numFmtId="0" fontId="0" fillId="2" borderId="0" xfId="0" applyFill="1" applyAlignment="1">
      <alignment horizontal="right"/>
    </xf>
    <xf numFmtId="168" fontId="0" fillId="0" borderId="0" xfId="1" applyNumberFormat="1" applyFont="1"/>
    <xf numFmtId="0" fontId="0" fillId="0" borderId="8" xfId="0" applyBorder="1"/>
    <xf numFmtId="9" fontId="0" fillId="0" borderId="0" xfId="1" applyFont="1"/>
    <xf numFmtId="168" fontId="0" fillId="0" borderId="0" xfId="0" applyNumberFormat="1"/>
    <xf numFmtId="0" fontId="0" fillId="0" borderId="0" xfId="0" applyNumberFormat="1"/>
    <xf numFmtId="3" fontId="0" fillId="0" borderId="0" xfId="0" applyNumberFormat="1" applyAlignment="1">
      <alignment horizontal="right"/>
    </xf>
    <xf numFmtId="165" fontId="0" fillId="0" borderId="0" xfId="3" applyNumberFormat="1" applyFont="1" applyAlignment="1">
      <alignment horizontal="right"/>
    </xf>
    <xf numFmtId="168" fontId="0" fillId="0" borderId="0" xfId="1" applyNumberFormat="1" applyFont="1" applyAlignment="1">
      <alignment horizontal="right"/>
    </xf>
    <xf numFmtId="168" fontId="0" fillId="3" borderId="0" xfId="1" applyNumberFormat="1" applyFont="1" applyFill="1" applyAlignment="1">
      <alignment horizontal="right"/>
    </xf>
    <xf numFmtId="168" fontId="0" fillId="2" borderId="0" xfId="1" applyNumberFormat="1" applyFont="1" applyFill="1"/>
    <xf numFmtId="0" fontId="0" fillId="9" borderId="8" xfId="0" applyFill="1" applyBorder="1"/>
    <xf numFmtId="165" fontId="0" fillId="9" borderId="8" xfId="3" applyNumberFormat="1" applyFont="1" applyFill="1" applyBorder="1"/>
    <xf numFmtId="169" fontId="0" fillId="9" borderId="8" xfId="3" applyNumberFormat="1" applyFont="1" applyFill="1" applyBorder="1"/>
    <xf numFmtId="0" fontId="0" fillId="10" borderId="8" xfId="0" applyFill="1" applyBorder="1"/>
    <xf numFmtId="165" fontId="0" fillId="10" borderId="8" xfId="3" applyNumberFormat="1" applyFont="1" applyFill="1" applyBorder="1"/>
    <xf numFmtId="169" fontId="0" fillId="10" borderId="8" xfId="3" applyNumberFormat="1" applyFont="1" applyFill="1" applyBorder="1"/>
    <xf numFmtId="0" fontId="0" fillId="11" borderId="8" xfId="0" applyFill="1" applyBorder="1"/>
    <xf numFmtId="165" fontId="0" fillId="11" borderId="8" xfId="3" applyNumberFormat="1" applyFont="1" applyFill="1" applyBorder="1"/>
    <xf numFmtId="169" fontId="0" fillId="11" borderId="8" xfId="3" applyNumberFormat="1" applyFont="1" applyFill="1" applyBorder="1"/>
    <xf numFmtId="168" fontId="0" fillId="9" borderId="8" xfId="1" applyNumberFormat="1" applyFont="1" applyFill="1" applyBorder="1"/>
    <xf numFmtId="168" fontId="0" fillId="10" borderId="8" xfId="1" applyNumberFormat="1" applyFont="1" applyFill="1" applyBorder="1"/>
    <xf numFmtId="168" fontId="0" fillId="11" borderId="8" xfId="1" applyNumberFormat="1" applyFont="1" applyFill="1" applyBorder="1"/>
    <xf numFmtId="0" fontId="0" fillId="0" borderId="0" xfId="1" applyNumberFormat="1" applyFont="1"/>
    <xf numFmtId="166" fontId="12" fillId="0" borderId="0" xfId="4" applyNumberFormat="1" applyFont="1"/>
    <xf numFmtId="168" fontId="0" fillId="2" borderId="0" xfId="0" applyNumberFormat="1" applyFill="1"/>
    <xf numFmtId="0" fontId="0" fillId="12" borderId="0" xfId="0" applyFill="1"/>
    <xf numFmtId="166" fontId="0" fillId="2" borderId="0" xfId="4" applyNumberFormat="1" applyFont="1" applyFill="1"/>
    <xf numFmtId="166" fontId="0" fillId="12" borderId="0" xfId="4" applyNumberFormat="1" applyFont="1" applyFill="1"/>
    <xf numFmtId="10" fontId="0" fillId="2" borderId="0" xfId="1" applyNumberFormat="1" applyFont="1" applyFill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69" fontId="0" fillId="0" borderId="0" xfId="3" applyNumberFormat="1" applyFont="1"/>
    <xf numFmtId="169" fontId="0" fillId="2" borderId="0" xfId="3" applyNumberFormat="1" applyFont="1" applyFill="1"/>
    <xf numFmtId="165" fontId="0" fillId="3" borderId="0" xfId="3" applyNumberFormat="1" applyFont="1" applyFill="1"/>
    <xf numFmtId="165" fontId="0" fillId="2" borderId="0" xfId="3" applyNumberFormat="1" applyFont="1" applyFill="1" applyAlignment="1">
      <alignment horizontal="right"/>
    </xf>
    <xf numFmtId="165" fontId="0" fillId="12" borderId="0" xfId="3" applyNumberFormat="1" applyFont="1" applyFill="1"/>
  </cellXfs>
  <cellStyles count="5">
    <cellStyle name="Comma" xfId="3" builtinId="3"/>
    <cellStyle name="Currency" xfId="4" builtinId="4"/>
    <cellStyle name="Normal" xfId="0" builtinId="0"/>
    <cellStyle name="Normal 2" xfId="2" xr:uid="{6B110435-80A0-4C30-9A28-214608AF03F6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Population Growth (%) from</a:t>
            </a:r>
            <a:r>
              <a:rPr lang="en-US" baseline="0"/>
              <a:t> 2000 to 2019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Demographic!$B$9</c:f>
              <c:strCache>
                <c:ptCount val="1"/>
                <c:pt idx="0">
                  <c:v>Growth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Lbl>
              <c:idx val="3"/>
              <c:layout>
                <c:manualLayout>
                  <c:x val="0"/>
                  <c:y val="-8.333333333333335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1D16-48A4-B1C1-65B14BC7AAF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Demographic!$A$10:$A$13</c:f>
              <c:strCache>
                <c:ptCount val="4"/>
                <c:pt idx="0">
                  <c:v>Ingham</c:v>
                </c:pt>
                <c:pt idx="1">
                  <c:v>Williamston</c:v>
                </c:pt>
                <c:pt idx="2">
                  <c:v>Haslett</c:v>
                </c:pt>
                <c:pt idx="3">
                  <c:v>Webberville</c:v>
                </c:pt>
              </c:strCache>
            </c:strRef>
          </c:cat>
          <c:val>
            <c:numRef>
              <c:f>Demographic!$B$10:$B$13</c:f>
              <c:numCache>
                <c:formatCode>0.0%</c:formatCode>
                <c:ptCount val="4"/>
                <c:pt idx="0">
                  <c:v>4.0337247601317489E-2</c:v>
                </c:pt>
                <c:pt idx="1">
                  <c:v>0.15053763440860216</c:v>
                </c:pt>
                <c:pt idx="2">
                  <c:v>0.73402463883718871</c:v>
                </c:pt>
                <c:pt idx="3">
                  <c:v>-0.12042581503659348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16-48A4-B1C1-65B14BC7A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90728288"/>
        <c:axId val="190732032"/>
      </c:barChart>
      <c:catAx>
        <c:axId val="190728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732032"/>
        <c:crosses val="autoZero"/>
        <c:auto val="1"/>
        <c:lblAlgn val="ctr"/>
        <c:lblOffset val="100"/>
        <c:noMultiLvlLbl val="0"/>
      </c:catAx>
      <c:valAx>
        <c:axId val="1907320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728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Race Composition for Williamston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6-FF67-4B5E-9F6C-49C9557AAE3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F67-4B5E-9F6C-49C9557AAE3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F67-4B5E-9F6C-49C9557AAE3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F67-4B5E-9F6C-49C9557AAE3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F67-4B5E-9F6C-49C9557AAE38}"/>
              </c:ext>
            </c:extLst>
          </c:dPt>
          <c:dLbls>
            <c:dLbl>
              <c:idx val="0"/>
              <c:layout>
                <c:manualLayout>
                  <c:x val="3.4499125109361331E-3"/>
                  <c:y val="-0.19621062992125984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FF67-4B5E-9F6C-49C9557AAE38}"/>
                </c:ext>
              </c:extLst>
            </c:dLbl>
            <c:dLbl>
              <c:idx val="1"/>
              <c:layout>
                <c:manualLayout>
                  <c:x val="-0.28428766086970741"/>
                  <c:y val="8.9843304843304786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t" anchorCtr="0">
                  <a:noAutofit/>
                </a:bodyPr>
                <a:lstStyle/>
                <a:p>
                  <a:pPr algn="l"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4308333333333331"/>
                      <c:h val="8.3264071157771929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4-FF67-4B5E-9F6C-49C9557AAE38}"/>
                </c:ext>
              </c:extLst>
            </c:dLbl>
            <c:dLbl>
              <c:idx val="2"/>
              <c:layout>
                <c:manualLayout>
                  <c:x val="-0.13402041874024204"/>
                  <c:y val="0.16756766381766383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t" anchorCtr="0">
                  <a:noAutofit/>
                </a:bodyPr>
                <a:lstStyle/>
                <a:p>
                  <a:pPr algn="l"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31237195888793839"/>
                      <c:h val="7.3325765669515666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FF67-4B5E-9F6C-49C9557AAE38}"/>
                </c:ext>
              </c:extLst>
            </c:dLbl>
            <c:dLbl>
              <c:idx val="3"/>
              <c:layout>
                <c:manualLayout>
                  <c:x val="-0.20923434468692603"/>
                  <c:y val="0.25918091168091167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0">
                  <a:noAutofit/>
                </a:bodyPr>
                <a:lstStyle/>
                <a:p>
                  <a:pPr algn="l">
                    <a:defRPr sz="900" b="0" i="0" u="none" strike="noStrike" kern="1200" baseline="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2826937780524481"/>
                      <c:h val="8.46327457264957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F67-4B5E-9F6C-49C9557AAE38}"/>
                </c:ext>
              </c:extLst>
            </c:dLbl>
            <c:dLbl>
              <c:idx val="4"/>
              <c:layout>
                <c:manualLayout>
                  <c:x val="3.0651356080489939E-2"/>
                  <c:y val="-1.3186060075823855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F67-4B5E-9F6C-49C9557AAE3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noFill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Demographic!$A$28:$A$32</c:f>
              <c:strCache>
                <c:ptCount val="5"/>
                <c:pt idx="0">
                  <c:v>  White</c:v>
                </c:pt>
                <c:pt idx="1">
                  <c:v>  Black</c:v>
                </c:pt>
                <c:pt idx="2">
                  <c:v>  Asian/Pacific Islander</c:v>
                </c:pt>
                <c:pt idx="3">
                  <c:v>  Native American</c:v>
                </c:pt>
                <c:pt idx="4">
                  <c:v>  Other</c:v>
                </c:pt>
              </c:strCache>
            </c:strRef>
          </c:cat>
          <c:val>
            <c:numRef>
              <c:f>Demographic!$B$28:$B$32</c:f>
              <c:numCache>
                <c:formatCode>0%</c:formatCode>
                <c:ptCount val="5"/>
                <c:pt idx="0">
                  <c:v>0.95529174033846931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4.0919424096994193E-2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67-4B5E-9F6C-49C9557AAE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Median Home Value vs Time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Housing!$B$10</c:f>
              <c:strCache>
                <c:ptCount val="1"/>
                <c:pt idx="0">
                  <c:v>Williamston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Housing!$A$11:$A$13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2019</c:v>
                </c:pt>
              </c:numCache>
            </c:numRef>
          </c:xVal>
          <c:yVal>
            <c:numRef>
              <c:f>Housing!$B$11:$B$13</c:f>
              <c:numCache>
                <c:formatCode>_("$"* #,##0_);_("$"* \(#,##0\);_("$"* "-"??_);_(@_)</c:formatCode>
                <c:ptCount val="3"/>
                <c:pt idx="0">
                  <c:v>109900</c:v>
                </c:pt>
                <c:pt idx="1">
                  <c:v>150500</c:v>
                </c:pt>
                <c:pt idx="2">
                  <c:v>161900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201-4973-A014-E0B1A5710B04}"/>
            </c:ext>
          </c:extLst>
        </c:ser>
        <c:ser>
          <c:idx val="1"/>
          <c:order val="1"/>
          <c:tx>
            <c:strRef>
              <c:f>Housing!$C$10</c:f>
              <c:strCache>
                <c:ptCount val="1"/>
                <c:pt idx="0">
                  <c:v>Haslett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Housing!$A$11:$A$13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2019</c:v>
                </c:pt>
              </c:numCache>
            </c:numRef>
          </c:xVal>
          <c:yVal>
            <c:numRef>
              <c:f>Housing!$C$11:$C$13</c:f>
              <c:numCache>
                <c:formatCode>_("$"* #,##0_);_("$"* \(#,##0\);_("$"* "-"??_);_(@_)</c:formatCode>
                <c:ptCount val="3"/>
                <c:pt idx="0">
                  <c:v>141700</c:v>
                </c:pt>
                <c:pt idx="1">
                  <c:v>194800</c:v>
                </c:pt>
                <c:pt idx="2">
                  <c:v>198400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201-4973-A014-E0B1A5710B04}"/>
            </c:ext>
          </c:extLst>
        </c:ser>
        <c:ser>
          <c:idx val="2"/>
          <c:order val="2"/>
          <c:tx>
            <c:strRef>
              <c:f>Housing!$D$10</c:f>
              <c:strCache>
                <c:ptCount val="1"/>
                <c:pt idx="0">
                  <c:v>Webberville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Housing!$A$11:$A$13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2019</c:v>
                </c:pt>
              </c:numCache>
            </c:numRef>
          </c:xVal>
          <c:yVal>
            <c:numRef>
              <c:f>Housing!$D$11:$D$13</c:f>
              <c:numCache>
                <c:formatCode>_("$"* #,##0_);_("$"* \(#,##0\);_("$"* "-"??_);_(@_)</c:formatCode>
                <c:ptCount val="3"/>
                <c:pt idx="0">
                  <c:v>95800</c:v>
                </c:pt>
                <c:pt idx="1">
                  <c:v>119300</c:v>
                </c:pt>
                <c:pt idx="2">
                  <c:v>112200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201-4973-A014-E0B1A5710B04}"/>
            </c:ext>
          </c:extLst>
        </c:ser>
        <c:ser>
          <c:idx val="3"/>
          <c:order val="3"/>
          <c:tx>
            <c:strRef>
              <c:f>Housing!$E$10</c:f>
              <c:strCache>
                <c:ptCount val="1"/>
                <c:pt idx="0">
                  <c:v>Ingham County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Housing!$A$11:$A$13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2019</c:v>
                </c:pt>
              </c:numCache>
            </c:numRef>
          </c:xVal>
          <c:yVal>
            <c:numRef>
              <c:f>Housing!$E$11:$E$13</c:f>
              <c:numCache>
                <c:formatCode>_("$"* #,##0_);_("$"* \(#,##0\);_("$"* "-"??_);_(@_)</c:formatCode>
                <c:ptCount val="3"/>
                <c:pt idx="0">
                  <c:v>97700</c:v>
                </c:pt>
                <c:pt idx="1">
                  <c:v>137900</c:v>
                </c:pt>
                <c:pt idx="2">
                  <c:v>135600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201-4973-A014-E0B1A5710B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81762144"/>
        <c:axId val="1881758816"/>
      </c:scatterChart>
      <c:valAx>
        <c:axId val="1881762144"/>
        <c:scaling>
          <c:orientation val="minMax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  <a:r>
                  <a:rPr lang="en-US" baseline="0"/>
                  <a:t> (Years)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1758816"/>
        <c:crosses val="autoZero"/>
        <c:crossBetween val="midCat"/>
        <c:majorUnit val="10"/>
      </c:valAx>
      <c:valAx>
        <c:axId val="1881758816"/>
        <c:scaling>
          <c:orientation val="minMax"/>
          <c:min val="9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Median</a:t>
                </a:r>
                <a:r>
                  <a:rPr lang="en-US" baseline="0"/>
                  <a:t> Home Value (USD)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176214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911770924467775"/>
          <c:y val="0.85705963837853605"/>
          <c:w val="0.73801618547681536"/>
          <c:h val="7.81255468066491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Vacancy</a:t>
            </a:r>
            <a:r>
              <a:rPr lang="en-US" baseline="0"/>
              <a:t> Rate for Williamston, Haslett, and Webberville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Housing!$A$16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Housing!$B$15:$D$15</c:f>
              <c:strCache>
                <c:ptCount val="3"/>
                <c:pt idx="0">
                  <c:v>Williamston</c:v>
                </c:pt>
                <c:pt idx="1">
                  <c:v>Haslett</c:v>
                </c:pt>
                <c:pt idx="2">
                  <c:v>Webberville</c:v>
                </c:pt>
              </c:strCache>
            </c:strRef>
          </c:cat>
          <c:val>
            <c:numRef>
              <c:f>Housing!$B$16:$D$16</c:f>
              <c:numCache>
                <c:formatCode>0.00%</c:formatCode>
                <c:ptCount val="3"/>
                <c:pt idx="0">
                  <c:v>3.7958115183246072E-2</c:v>
                </c:pt>
                <c:pt idx="1">
                  <c:v>4.1643323996265171E-2</c:v>
                </c:pt>
                <c:pt idx="2">
                  <c:v>8.3333333333333329E-2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8A-45A1-BA00-AFF0FE0BEC6B}"/>
            </c:ext>
          </c:extLst>
        </c:ser>
        <c:ser>
          <c:idx val="1"/>
          <c:order val="1"/>
          <c:tx>
            <c:strRef>
              <c:f>Housing!$A$17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Housing!$B$15:$D$15</c:f>
              <c:strCache>
                <c:ptCount val="3"/>
                <c:pt idx="0">
                  <c:v>Williamston</c:v>
                </c:pt>
                <c:pt idx="1">
                  <c:v>Haslett</c:v>
                </c:pt>
                <c:pt idx="2">
                  <c:v>Webberville</c:v>
                </c:pt>
              </c:strCache>
            </c:strRef>
          </c:cat>
          <c:val>
            <c:numRef>
              <c:f>Housing!$B$17:$D$17</c:f>
              <c:numCache>
                <c:formatCode>0.00%</c:formatCode>
                <c:ptCount val="3"/>
                <c:pt idx="0">
                  <c:v>0.10285075461151481</c:v>
                </c:pt>
                <c:pt idx="1">
                  <c:v>6.6861985978863656E-2</c:v>
                </c:pt>
                <c:pt idx="2">
                  <c:v>0.11343804537521815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88A-45A1-BA00-AFF0FE0BEC6B}"/>
            </c:ext>
          </c:extLst>
        </c:ser>
        <c:ser>
          <c:idx val="2"/>
          <c:order val="2"/>
          <c:tx>
            <c:strRef>
              <c:f>Housing!$A$18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Housing!$B$15:$D$15</c:f>
              <c:strCache>
                <c:ptCount val="3"/>
                <c:pt idx="0">
                  <c:v>Williamston</c:v>
                </c:pt>
                <c:pt idx="1">
                  <c:v>Haslett</c:v>
                </c:pt>
                <c:pt idx="2">
                  <c:v>Webberville</c:v>
                </c:pt>
              </c:strCache>
            </c:strRef>
          </c:cat>
          <c:val>
            <c:numRef>
              <c:f>Housing!$B$18:$D$18</c:f>
              <c:numCache>
                <c:formatCode>0.00%</c:formatCode>
                <c:ptCount val="3"/>
                <c:pt idx="0">
                  <c:v>9.748259239421532E-2</c:v>
                </c:pt>
                <c:pt idx="1">
                  <c:v>5.2832996704581692E-2</c:v>
                </c:pt>
                <c:pt idx="2">
                  <c:v>9.4812164579606437E-2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8A-45A1-BA00-AFF0FE0BEC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8964848"/>
        <c:axId val="198960272"/>
      </c:barChart>
      <c:catAx>
        <c:axId val="198964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960272"/>
        <c:crosses val="autoZero"/>
        <c:auto val="1"/>
        <c:lblAlgn val="ctr"/>
        <c:lblOffset val="100"/>
        <c:noMultiLvlLbl val="0"/>
      </c:catAx>
      <c:valAx>
        <c:axId val="1989602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Vacancy</a:t>
                </a:r>
                <a:r>
                  <a:rPr lang="en-US" baseline="0"/>
                  <a:t> Rate (%)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964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Ingham Intermediate</a:t>
            </a:r>
            <a:r>
              <a:rPr lang="en-US" baseline="0"/>
              <a:t> School District Dropout Rates (%) by District/School for 2018-19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Education!$K$4:$K$21</c:f>
              <c:strCache>
                <c:ptCount val="18"/>
                <c:pt idx="0">
                  <c:v>Statewide</c:v>
                </c:pt>
                <c:pt idx="1">
                  <c:v>Ingham County</c:v>
                </c:pt>
                <c:pt idx="2">
                  <c:v>NexTech High School of Lansing</c:v>
                </c:pt>
                <c:pt idx="3">
                  <c:v>Great Lakes Cyber Academy</c:v>
                </c:pt>
                <c:pt idx="4">
                  <c:v>Blended Learning Academies Credit Recovery High School</c:v>
                </c:pt>
                <c:pt idx="5">
                  <c:v>Lansing Public School District</c:v>
                </c:pt>
                <c:pt idx="6">
                  <c:v>Stockbridge Community Schools </c:v>
                </c:pt>
                <c:pt idx="7">
                  <c:v>Michigan Connections Academy</c:v>
                </c:pt>
                <c:pt idx="8">
                  <c:v>Waverly Community Schools</c:v>
                </c:pt>
                <c:pt idx="9">
                  <c:v>Leslie Public Schools</c:v>
                </c:pt>
                <c:pt idx="10">
                  <c:v>Holt Public Schools</c:v>
                </c:pt>
                <c:pt idx="11">
                  <c:v>Dansville Schools</c:v>
                </c:pt>
                <c:pt idx="12">
                  <c:v>Webberville Community Schools</c:v>
                </c:pt>
                <c:pt idx="13">
                  <c:v>East Lansing School District</c:v>
                </c:pt>
                <c:pt idx="14">
                  <c:v>Okemos Public Schools</c:v>
                </c:pt>
                <c:pt idx="15">
                  <c:v>Mason Public Schools</c:v>
                </c:pt>
                <c:pt idx="16">
                  <c:v>Haslett Public Schools</c:v>
                </c:pt>
                <c:pt idx="17">
                  <c:v>Williamston Community Schools</c:v>
                </c:pt>
              </c:strCache>
            </c:strRef>
          </c:cat>
          <c:val>
            <c:numRef>
              <c:f>Education!$L$4:$L$21</c:f>
              <c:numCache>
                <c:formatCode>0.00%</c:formatCode>
                <c:ptCount val="18"/>
                <c:pt idx="0">
                  <c:v>8.3599999999999994E-2</c:v>
                </c:pt>
                <c:pt idx="1">
                  <c:v>9.8904267589388695E-2</c:v>
                </c:pt>
                <c:pt idx="2">
                  <c:v>0.30509999999999998</c:v>
                </c:pt>
                <c:pt idx="3">
                  <c:v>0.26129999999999998</c:v>
                </c:pt>
                <c:pt idx="4">
                  <c:v>0.23910000000000001</c:v>
                </c:pt>
                <c:pt idx="5">
                  <c:v>0.20849999999999999</c:v>
                </c:pt>
                <c:pt idx="6">
                  <c:v>0.14580000000000001</c:v>
                </c:pt>
                <c:pt idx="7">
                  <c:v>9.5899999999999999E-2</c:v>
                </c:pt>
                <c:pt idx="8">
                  <c:v>7.0499999999999993E-2</c:v>
                </c:pt>
                <c:pt idx="9">
                  <c:v>6.93E-2</c:v>
                </c:pt>
                <c:pt idx="10">
                  <c:v>5.74E-2</c:v>
                </c:pt>
                <c:pt idx="11">
                  <c:v>4.8399999999999999E-2</c:v>
                </c:pt>
                <c:pt idx="12">
                  <c:v>4.4400000000000002E-2</c:v>
                </c:pt>
                <c:pt idx="13">
                  <c:v>3.1600000000000003E-2</c:v>
                </c:pt>
                <c:pt idx="14">
                  <c:v>2.8899999999999999E-2</c:v>
                </c:pt>
                <c:pt idx="15">
                  <c:v>2.6700000000000002E-2</c:v>
                </c:pt>
                <c:pt idx="16">
                  <c:v>2.5499999999999998E-2</c:v>
                </c:pt>
                <c:pt idx="17">
                  <c:v>1.3100000000000001E-2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B5-45D4-8F8E-DCBE2D9170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887001264"/>
        <c:axId val="1886997936"/>
      </c:barChart>
      <c:catAx>
        <c:axId val="18870012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6997936"/>
        <c:crosses val="autoZero"/>
        <c:auto val="1"/>
        <c:lblAlgn val="ctr"/>
        <c:lblOffset val="100"/>
        <c:noMultiLvlLbl val="0"/>
      </c:catAx>
      <c:valAx>
        <c:axId val="1886997936"/>
        <c:scaling>
          <c:orientation val="minMax"/>
          <c:max val="0.35000000000000003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7001264"/>
        <c:crosses val="autoZero"/>
        <c:crossBetween val="between"/>
        <c:majorUnit val="0.1"/>
        <c:minorUnit val="0.1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</a:t>
            </a:r>
            <a:r>
              <a:rPr lang="en-US" baseline="0"/>
              <a:t> of Population Over 25 with Bachelor's Degree or Higher vs Time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Education!$O$4</c:f>
              <c:strCache>
                <c:ptCount val="1"/>
                <c:pt idx="0">
                  <c:v>Williamston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Education!$N$5:$N$7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2019</c:v>
                </c:pt>
              </c:numCache>
            </c:numRef>
          </c:xVal>
          <c:yVal>
            <c:numRef>
              <c:f>Education!$O$5:$O$7</c:f>
              <c:numCache>
                <c:formatCode>0.0%</c:formatCode>
                <c:ptCount val="3"/>
                <c:pt idx="0">
                  <c:v>0.307</c:v>
                </c:pt>
                <c:pt idx="1">
                  <c:v>0.41699999999999998</c:v>
                </c:pt>
                <c:pt idx="2">
                  <c:v>0.51600000000000001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D54-4835-A8F7-05F204F0D981}"/>
            </c:ext>
          </c:extLst>
        </c:ser>
        <c:ser>
          <c:idx val="1"/>
          <c:order val="1"/>
          <c:tx>
            <c:strRef>
              <c:f>Education!$P$4</c:f>
              <c:strCache>
                <c:ptCount val="1"/>
                <c:pt idx="0">
                  <c:v>Haslett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Education!$N$5:$N$7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2019</c:v>
                </c:pt>
              </c:numCache>
            </c:numRef>
          </c:xVal>
          <c:yVal>
            <c:numRef>
              <c:f>Education!$P$5:$P$7</c:f>
              <c:numCache>
                <c:formatCode>0.0%</c:formatCode>
                <c:ptCount val="3"/>
                <c:pt idx="0">
                  <c:v>0.47499999999999998</c:v>
                </c:pt>
                <c:pt idx="1">
                  <c:v>0.56299999999999994</c:v>
                </c:pt>
                <c:pt idx="2">
                  <c:v>0.59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D54-4835-A8F7-05F204F0D981}"/>
            </c:ext>
          </c:extLst>
        </c:ser>
        <c:ser>
          <c:idx val="2"/>
          <c:order val="2"/>
          <c:tx>
            <c:strRef>
              <c:f>Education!$Q$4</c:f>
              <c:strCache>
                <c:ptCount val="1"/>
                <c:pt idx="0">
                  <c:v>Webberville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Education!$N$5:$N$7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2019</c:v>
                </c:pt>
              </c:numCache>
            </c:numRef>
          </c:xVal>
          <c:yVal>
            <c:numRef>
              <c:f>Education!$Q$5:$Q$7</c:f>
              <c:numCache>
                <c:formatCode>0.0%</c:formatCode>
                <c:ptCount val="3"/>
                <c:pt idx="0" formatCode="0.00%">
                  <c:v>0.11</c:v>
                </c:pt>
                <c:pt idx="1">
                  <c:v>0.16300000000000001</c:v>
                </c:pt>
                <c:pt idx="2">
                  <c:v>0.18099999999999999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D54-4835-A8F7-05F204F0D981}"/>
            </c:ext>
          </c:extLst>
        </c:ser>
        <c:ser>
          <c:idx val="3"/>
          <c:order val="3"/>
          <c:tx>
            <c:strRef>
              <c:f>Education!$R$4</c:f>
              <c:strCache>
                <c:ptCount val="1"/>
                <c:pt idx="0">
                  <c:v>Ingham County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Education!$N$5:$N$7</c:f>
              <c:numCache>
                <c:formatCode>General</c:formatCode>
                <c:ptCount val="3"/>
                <c:pt idx="0">
                  <c:v>2000</c:v>
                </c:pt>
                <c:pt idx="1">
                  <c:v>2010</c:v>
                </c:pt>
                <c:pt idx="2">
                  <c:v>2019</c:v>
                </c:pt>
              </c:numCache>
            </c:numRef>
          </c:xVal>
          <c:yVal>
            <c:numRef>
              <c:f>Education!$R$5:$R$7</c:f>
              <c:numCache>
                <c:formatCode>0.0%</c:formatCode>
                <c:ptCount val="3"/>
                <c:pt idx="0">
                  <c:v>0.33</c:v>
                </c:pt>
                <c:pt idx="1">
                  <c:v>0.35499999999999998</c:v>
                </c:pt>
                <c:pt idx="2">
                  <c:v>0.38900000000000001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D54-4835-A8F7-05F204F0D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1828848"/>
        <c:axId val="1601830096"/>
      </c:scatterChart>
      <c:valAx>
        <c:axId val="1601828848"/>
        <c:scaling>
          <c:orientation val="minMax"/>
          <c:min val="2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</a:t>
                </a:r>
                <a:r>
                  <a:rPr lang="en-US" baseline="0"/>
                  <a:t> (Years)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1830096"/>
        <c:crosses val="autoZero"/>
        <c:crossBetween val="midCat"/>
        <c:majorUnit val="10"/>
      </c:valAx>
      <c:valAx>
        <c:axId val="1601830096"/>
        <c:scaling>
          <c:orientation val="minMax"/>
          <c:max val="0.60000000000000009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0182884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5.7190288713910763E-2"/>
          <c:y val="0.86631889763779524"/>
          <c:w val="0.88561942257217852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Median</a:t>
            </a:r>
            <a:r>
              <a:rPr lang="en-US" baseline="0"/>
              <a:t> Household Income, Median Family Income, and Per Capita Income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Economic!$C$14</c:f>
              <c:strCache>
                <c:ptCount val="1"/>
                <c:pt idx="0">
                  <c:v>Median Household Income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Economic!$A$15:$B$26</c:f>
              <c:multiLvlStrCache>
                <c:ptCount val="12"/>
                <c:lvl>
                  <c:pt idx="0">
                    <c:v>Williamston</c:v>
                  </c:pt>
                  <c:pt idx="1">
                    <c:v>Haslett</c:v>
                  </c:pt>
                  <c:pt idx="2">
                    <c:v>Webberville</c:v>
                  </c:pt>
                  <c:pt idx="3">
                    <c:v>Ingham County</c:v>
                  </c:pt>
                  <c:pt idx="4">
                    <c:v>Williamston</c:v>
                  </c:pt>
                  <c:pt idx="5">
                    <c:v>Haslett</c:v>
                  </c:pt>
                  <c:pt idx="6">
                    <c:v>Webberville</c:v>
                  </c:pt>
                  <c:pt idx="7">
                    <c:v>Ingham County</c:v>
                  </c:pt>
                  <c:pt idx="8">
                    <c:v>Williamston</c:v>
                  </c:pt>
                  <c:pt idx="9">
                    <c:v>Haslett</c:v>
                  </c:pt>
                  <c:pt idx="10">
                    <c:v>Webberville</c:v>
                  </c:pt>
                  <c:pt idx="11">
                    <c:v>Ingham County</c:v>
                  </c:pt>
                </c:lvl>
                <c:lvl>
                  <c:pt idx="0">
                    <c:v>2000</c:v>
                  </c:pt>
                  <c:pt idx="4">
                    <c:v>2010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Economic!$C$15:$C$26</c:f>
              <c:numCache>
                <c:formatCode>_("$"* #,##0_);_("$"* \(#,##0\);_("$"* "-"??_);_(@_)</c:formatCode>
                <c:ptCount val="12"/>
                <c:pt idx="0">
                  <c:v>51560</c:v>
                </c:pt>
                <c:pt idx="1">
                  <c:v>62539</c:v>
                </c:pt>
                <c:pt idx="2">
                  <c:v>47136</c:v>
                </c:pt>
                <c:pt idx="3">
                  <c:v>53170</c:v>
                </c:pt>
                <c:pt idx="4">
                  <c:v>70278</c:v>
                </c:pt>
                <c:pt idx="5">
                  <c:v>74441</c:v>
                </c:pt>
                <c:pt idx="6">
                  <c:v>58185</c:v>
                </c:pt>
                <c:pt idx="7">
                  <c:v>59947</c:v>
                </c:pt>
                <c:pt idx="8">
                  <c:v>96731</c:v>
                </c:pt>
                <c:pt idx="9">
                  <c:v>102027</c:v>
                </c:pt>
                <c:pt idx="10">
                  <c:v>80145</c:v>
                </c:pt>
                <c:pt idx="11">
                  <c:v>72682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50-4004-85A4-9DA5A61B3059}"/>
            </c:ext>
          </c:extLst>
        </c:ser>
        <c:ser>
          <c:idx val="1"/>
          <c:order val="1"/>
          <c:tx>
            <c:strRef>
              <c:f>Economic!$D$14</c:f>
              <c:strCache>
                <c:ptCount val="1"/>
                <c:pt idx="0">
                  <c:v>Median Family Income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Economic!$A$15:$B$26</c:f>
              <c:multiLvlStrCache>
                <c:ptCount val="12"/>
                <c:lvl>
                  <c:pt idx="0">
                    <c:v>Williamston</c:v>
                  </c:pt>
                  <c:pt idx="1">
                    <c:v>Haslett</c:v>
                  </c:pt>
                  <c:pt idx="2">
                    <c:v>Webberville</c:v>
                  </c:pt>
                  <c:pt idx="3">
                    <c:v>Ingham County</c:v>
                  </c:pt>
                  <c:pt idx="4">
                    <c:v>Williamston</c:v>
                  </c:pt>
                  <c:pt idx="5">
                    <c:v>Haslett</c:v>
                  </c:pt>
                  <c:pt idx="6">
                    <c:v>Webberville</c:v>
                  </c:pt>
                  <c:pt idx="7">
                    <c:v>Ingham County</c:v>
                  </c:pt>
                  <c:pt idx="8">
                    <c:v>Williamston</c:v>
                  </c:pt>
                  <c:pt idx="9">
                    <c:v>Haslett</c:v>
                  </c:pt>
                  <c:pt idx="10">
                    <c:v>Webberville</c:v>
                  </c:pt>
                  <c:pt idx="11">
                    <c:v>Ingham County</c:v>
                  </c:pt>
                </c:lvl>
                <c:lvl>
                  <c:pt idx="0">
                    <c:v>2000</c:v>
                  </c:pt>
                  <c:pt idx="4">
                    <c:v>2010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Economic!$D$15:$D$26</c:f>
              <c:numCache>
                <c:formatCode>_("$"* #,##0_);_("$"* \(#,##0\);_("$"* "-"??_);_(@_)</c:formatCode>
                <c:ptCount val="12"/>
                <c:pt idx="0">
                  <c:v>60002</c:v>
                </c:pt>
                <c:pt idx="1">
                  <c:v>82870</c:v>
                </c:pt>
                <c:pt idx="2">
                  <c:v>50850</c:v>
                </c:pt>
                <c:pt idx="3">
                  <c:v>65609</c:v>
                </c:pt>
                <c:pt idx="4">
                  <c:v>85383</c:v>
                </c:pt>
                <c:pt idx="5">
                  <c:v>99356</c:v>
                </c:pt>
                <c:pt idx="6">
                  <c:v>67150</c:v>
                </c:pt>
                <c:pt idx="7">
                  <c:v>75704</c:v>
                </c:pt>
                <c:pt idx="8">
                  <c:v>118710</c:v>
                </c:pt>
                <c:pt idx="9">
                  <c:v>138138</c:v>
                </c:pt>
                <c:pt idx="10">
                  <c:v>96538</c:v>
                </c:pt>
                <c:pt idx="11">
                  <c:v>93440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50-4004-85A4-9DA5A61B3059}"/>
            </c:ext>
          </c:extLst>
        </c:ser>
        <c:ser>
          <c:idx val="2"/>
          <c:order val="2"/>
          <c:tx>
            <c:strRef>
              <c:f>Economic!$E$14</c:f>
              <c:strCache>
                <c:ptCount val="1"/>
                <c:pt idx="0">
                  <c:v>Per Capita Income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Economic!$A$15:$B$26</c:f>
              <c:multiLvlStrCache>
                <c:ptCount val="12"/>
                <c:lvl>
                  <c:pt idx="0">
                    <c:v>Williamston</c:v>
                  </c:pt>
                  <c:pt idx="1">
                    <c:v>Haslett</c:v>
                  </c:pt>
                  <c:pt idx="2">
                    <c:v>Webberville</c:v>
                  </c:pt>
                  <c:pt idx="3">
                    <c:v>Ingham County</c:v>
                  </c:pt>
                  <c:pt idx="4">
                    <c:v>Williamston</c:v>
                  </c:pt>
                  <c:pt idx="5">
                    <c:v>Haslett</c:v>
                  </c:pt>
                  <c:pt idx="6">
                    <c:v>Webberville</c:v>
                  </c:pt>
                  <c:pt idx="7">
                    <c:v>Ingham County</c:v>
                  </c:pt>
                  <c:pt idx="8">
                    <c:v>Williamston</c:v>
                  </c:pt>
                  <c:pt idx="9">
                    <c:v>Haslett</c:v>
                  </c:pt>
                  <c:pt idx="10">
                    <c:v>Webberville</c:v>
                  </c:pt>
                  <c:pt idx="11">
                    <c:v>Ingham County</c:v>
                  </c:pt>
                </c:lvl>
                <c:lvl>
                  <c:pt idx="0">
                    <c:v>2000</c:v>
                  </c:pt>
                  <c:pt idx="4">
                    <c:v>2010</c:v>
                  </c:pt>
                  <c:pt idx="8">
                    <c:v>2019</c:v>
                  </c:pt>
                </c:lvl>
              </c:multiLvlStrCache>
            </c:multiLvlStrRef>
          </c:cat>
          <c:val>
            <c:numRef>
              <c:f>Economic!$E$15:$E$26</c:f>
              <c:numCache>
                <c:formatCode>_("$"* #,##0_);_("$"* \(#,##0\);_("$"* "-"??_);_(@_)</c:formatCode>
                <c:ptCount val="12"/>
                <c:pt idx="0">
                  <c:v>22798</c:v>
                </c:pt>
                <c:pt idx="1">
                  <c:v>28686</c:v>
                </c:pt>
                <c:pt idx="2">
                  <c:v>17663</c:v>
                </c:pt>
                <c:pt idx="3">
                  <c:v>21079</c:v>
                </c:pt>
                <c:pt idx="4">
                  <c:v>30690</c:v>
                </c:pt>
                <c:pt idx="5">
                  <c:v>34914</c:v>
                </c:pt>
                <c:pt idx="6">
                  <c:v>21683</c:v>
                </c:pt>
                <c:pt idx="7">
                  <c:v>22883</c:v>
                </c:pt>
                <c:pt idx="8">
                  <c:v>41413</c:v>
                </c:pt>
                <c:pt idx="9">
                  <c:v>47228</c:v>
                </c:pt>
                <c:pt idx="10">
                  <c:v>31420</c:v>
                </c:pt>
                <c:pt idx="11">
                  <c:v>29380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50-4004-85A4-9DA5A61B3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83354048"/>
        <c:axId val="1883362368"/>
      </c:barChart>
      <c:catAx>
        <c:axId val="1883354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3362368"/>
        <c:crosses val="autoZero"/>
        <c:auto val="1"/>
        <c:lblAlgn val="ctr"/>
        <c:lblOffset val="100"/>
        <c:noMultiLvlLbl val="0"/>
      </c:catAx>
      <c:valAx>
        <c:axId val="188336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Income</a:t>
                </a:r>
                <a:r>
                  <a:rPr lang="en-US" baseline="0"/>
                  <a:t> (USD)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83354048"/>
        <c:crosses val="autoZero"/>
        <c:crossBetween val="between"/>
        <c:majorUnit val="2500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6666666666666666E-2"/>
          <c:y val="0.86701161817871264"/>
          <c:w val="0.9"/>
          <c:h val="7.77207089493376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Employment by Industry for 2019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Economic!$B$45</c:f>
              <c:strCache>
                <c:ptCount val="1"/>
                <c:pt idx="0">
                  <c:v>Williamston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Economic!$A$46:$A$58</c:f>
              <c:strCache>
                <c:ptCount val="13"/>
                <c:pt idx="0">
                  <c:v>  Agriculture</c:v>
                </c:pt>
                <c:pt idx="1">
                  <c:v>  Information</c:v>
                </c:pt>
                <c:pt idx="2">
                  <c:v>  Transportation</c:v>
                </c:pt>
                <c:pt idx="3">
                  <c:v>  Construction</c:v>
                </c:pt>
                <c:pt idx="4">
                  <c:v>  Wholesale Trade</c:v>
                </c:pt>
                <c:pt idx="5">
                  <c:v>  Arts</c:v>
                </c:pt>
                <c:pt idx="6">
                  <c:v>  Other</c:v>
                </c:pt>
                <c:pt idx="7">
                  <c:v>  Professional</c:v>
                </c:pt>
                <c:pt idx="8">
                  <c:v>  Retail Trade</c:v>
                </c:pt>
                <c:pt idx="9">
                  <c:v>  Manufacturing</c:v>
                </c:pt>
                <c:pt idx="10">
                  <c:v>  Finance</c:v>
                </c:pt>
                <c:pt idx="11">
                  <c:v>  Public Administration</c:v>
                </c:pt>
                <c:pt idx="12">
                  <c:v>  Education and Health care</c:v>
                </c:pt>
              </c:strCache>
            </c:strRef>
          </c:cat>
          <c:val>
            <c:numRef>
              <c:f>Economic!$B$46:$B$58</c:f>
              <c:numCache>
                <c:formatCode>0.0%</c:formatCode>
                <c:ptCount val="13"/>
                <c:pt idx="0">
                  <c:v>0</c:v>
                </c:pt>
                <c:pt idx="1">
                  <c:v>8.0990948070509775E-3</c:v>
                </c:pt>
                <c:pt idx="2">
                  <c:v>1.7627441638875654E-2</c:v>
                </c:pt>
                <c:pt idx="3">
                  <c:v>2.7632205812291567E-2</c:v>
                </c:pt>
                <c:pt idx="4">
                  <c:v>4.5259647451167222E-2</c:v>
                </c:pt>
                <c:pt idx="5">
                  <c:v>5.145307289185326E-2</c:v>
                </c:pt>
                <c:pt idx="6">
                  <c:v>5.9075750357313009E-2</c:v>
                </c:pt>
                <c:pt idx="7">
                  <c:v>9.1472129585516912E-2</c:v>
                </c:pt>
                <c:pt idx="8">
                  <c:v>0.10290614578370652</c:v>
                </c:pt>
                <c:pt idx="9">
                  <c:v>0.10671748451643639</c:v>
                </c:pt>
                <c:pt idx="10">
                  <c:v>0.11862791805621725</c:v>
                </c:pt>
                <c:pt idx="11">
                  <c:v>0.12053358742258218</c:v>
                </c:pt>
                <c:pt idx="12">
                  <c:v>0.25059552167698906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3E-4216-B210-4A32443BD6A8}"/>
            </c:ext>
          </c:extLst>
        </c:ser>
        <c:ser>
          <c:idx val="1"/>
          <c:order val="1"/>
          <c:tx>
            <c:strRef>
              <c:f>Economic!$C$45</c:f>
              <c:strCache>
                <c:ptCount val="1"/>
                <c:pt idx="0">
                  <c:v>Haslett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Economic!$A$46:$A$58</c:f>
              <c:strCache>
                <c:ptCount val="13"/>
                <c:pt idx="0">
                  <c:v>  Agriculture</c:v>
                </c:pt>
                <c:pt idx="1">
                  <c:v>  Information</c:v>
                </c:pt>
                <c:pt idx="2">
                  <c:v>  Transportation</c:v>
                </c:pt>
                <c:pt idx="3">
                  <c:v>  Construction</c:v>
                </c:pt>
                <c:pt idx="4">
                  <c:v>  Wholesale Trade</c:v>
                </c:pt>
                <c:pt idx="5">
                  <c:v>  Arts</c:v>
                </c:pt>
                <c:pt idx="6">
                  <c:v>  Other</c:v>
                </c:pt>
                <c:pt idx="7">
                  <c:v>  Professional</c:v>
                </c:pt>
                <c:pt idx="8">
                  <c:v>  Retail Trade</c:v>
                </c:pt>
                <c:pt idx="9">
                  <c:v>  Manufacturing</c:v>
                </c:pt>
                <c:pt idx="10">
                  <c:v>  Finance</c:v>
                </c:pt>
                <c:pt idx="11">
                  <c:v>  Public Administration</c:v>
                </c:pt>
                <c:pt idx="12">
                  <c:v>  Education and Health care</c:v>
                </c:pt>
              </c:strCache>
            </c:strRef>
          </c:cat>
          <c:val>
            <c:numRef>
              <c:f>Economic!$C$46:$C$58</c:f>
              <c:numCache>
                <c:formatCode>0.0%</c:formatCode>
                <c:ptCount val="13"/>
                <c:pt idx="0">
                  <c:v>3.4193044157874168E-3</c:v>
                </c:pt>
                <c:pt idx="1">
                  <c:v>1.6901133255177805E-2</c:v>
                </c:pt>
                <c:pt idx="2">
                  <c:v>2.9112934740132865E-2</c:v>
                </c:pt>
                <c:pt idx="3">
                  <c:v>2.9210629152012505E-2</c:v>
                </c:pt>
                <c:pt idx="4">
                  <c:v>2.2958186791715515E-2</c:v>
                </c:pt>
                <c:pt idx="5">
                  <c:v>7.2586948026572881E-2</c:v>
                </c:pt>
                <c:pt idx="6">
                  <c:v>4.7870261821023836E-2</c:v>
                </c:pt>
                <c:pt idx="7">
                  <c:v>0.1247557639703009</c:v>
                </c:pt>
                <c:pt idx="8">
                  <c:v>9.2809691285658455E-2</c:v>
                </c:pt>
                <c:pt idx="9">
                  <c:v>5.9105119187182496E-2</c:v>
                </c:pt>
                <c:pt idx="10">
                  <c:v>7.9523251270027351E-2</c:v>
                </c:pt>
                <c:pt idx="11">
                  <c:v>9.222352481438062E-2</c:v>
                </c:pt>
                <c:pt idx="12">
                  <c:v>0.32952325127002735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3E-4216-B210-4A32443BD6A8}"/>
            </c:ext>
          </c:extLst>
        </c:ser>
        <c:ser>
          <c:idx val="2"/>
          <c:order val="2"/>
          <c:tx>
            <c:strRef>
              <c:f>Economic!$D$45</c:f>
              <c:strCache>
                <c:ptCount val="1"/>
                <c:pt idx="0">
                  <c:v>Webberville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Economic!$A$46:$A$58</c:f>
              <c:strCache>
                <c:ptCount val="13"/>
                <c:pt idx="0">
                  <c:v>  Agriculture</c:v>
                </c:pt>
                <c:pt idx="1">
                  <c:v>  Information</c:v>
                </c:pt>
                <c:pt idx="2">
                  <c:v>  Transportation</c:v>
                </c:pt>
                <c:pt idx="3">
                  <c:v>  Construction</c:v>
                </c:pt>
                <c:pt idx="4">
                  <c:v>  Wholesale Trade</c:v>
                </c:pt>
                <c:pt idx="5">
                  <c:v>  Arts</c:v>
                </c:pt>
                <c:pt idx="6">
                  <c:v>  Other</c:v>
                </c:pt>
                <c:pt idx="7">
                  <c:v>  Professional</c:v>
                </c:pt>
                <c:pt idx="8">
                  <c:v>  Retail Trade</c:v>
                </c:pt>
                <c:pt idx="9">
                  <c:v>  Manufacturing</c:v>
                </c:pt>
                <c:pt idx="10">
                  <c:v>  Finance</c:v>
                </c:pt>
                <c:pt idx="11">
                  <c:v>  Public Administration</c:v>
                </c:pt>
                <c:pt idx="12">
                  <c:v>  Education and Health care</c:v>
                </c:pt>
              </c:strCache>
            </c:strRef>
          </c:cat>
          <c:val>
            <c:numRef>
              <c:f>Economic!$D$46:$D$58</c:f>
              <c:numCache>
                <c:formatCode>0.0%</c:formatCode>
                <c:ptCount val="13"/>
                <c:pt idx="0">
                  <c:v>1.0687022900763359E-2</c:v>
                </c:pt>
                <c:pt idx="1">
                  <c:v>2.1374045801526718E-2</c:v>
                </c:pt>
                <c:pt idx="2">
                  <c:v>2.9007633587786259E-2</c:v>
                </c:pt>
                <c:pt idx="3">
                  <c:v>6.4122137404580157E-2</c:v>
                </c:pt>
                <c:pt idx="4">
                  <c:v>4.8854961832061068E-2</c:v>
                </c:pt>
                <c:pt idx="5">
                  <c:v>0.13587786259541984</c:v>
                </c:pt>
                <c:pt idx="6">
                  <c:v>4.5801526717557252E-2</c:v>
                </c:pt>
                <c:pt idx="7">
                  <c:v>4.2748091603053436E-2</c:v>
                </c:pt>
                <c:pt idx="8">
                  <c:v>0.11297709923664122</c:v>
                </c:pt>
                <c:pt idx="9">
                  <c:v>0.2</c:v>
                </c:pt>
                <c:pt idx="10">
                  <c:v>7.0229007633587789E-2</c:v>
                </c:pt>
                <c:pt idx="11">
                  <c:v>6.5648854961832065E-2</c:v>
                </c:pt>
                <c:pt idx="12">
                  <c:v>0.15267175572519084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3E-4216-B210-4A32443BD6A8}"/>
            </c:ext>
          </c:extLst>
        </c:ser>
        <c:ser>
          <c:idx val="3"/>
          <c:order val="3"/>
          <c:tx>
            <c:strRef>
              <c:f>Economic!$E$45</c:f>
              <c:strCache>
                <c:ptCount val="1"/>
                <c:pt idx="0">
                  <c:v>Ingham County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Economic!$A$46:$A$58</c:f>
              <c:strCache>
                <c:ptCount val="13"/>
                <c:pt idx="0">
                  <c:v>  Agriculture</c:v>
                </c:pt>
                <c:pt idx="1">
                  <c:v>  Information</c:v>
                </c:pt>
                <c:pt idx="2">
                  <c:v>  Transportation</c:v>
                </c:pt>
                <c:pt idx="3">
                  <c:v>  Construction</c:v>
                </c:pt>
                <c:pt idx="4">
                  <c:v>  Wholesale Trade</c:v>
                </c:pt>
                <c:pt idx="5">
                  <c:v>  Arts</c:v>
                </c:pt>
                <c:pt idx="6">
                  <c:v>  Other</c:v>
                </c:pt>
                <c:pt idx="7">
                  <c:v>  Professional</c:v>
                </c:pt>
                <c:pt idx="8">
                  <c:v>  Retail Trade</c:v>
                </c:pt>
                <c:pt idx="9">
                  <c:v>  Manufacturing</c:v>
                </c:pt>
                <c:pt idx="10">
                  <c:v>  Finance</c:v>
                </c:pt>
                <c:pt idx="11">
                  <c:v>  Public Administration</c:v>
                </c:pt>
                <c:pt idx="12">
                  <c:v>  Education and Health care</c:v>
                </c:pt>
              </c:strCache>
            </c:strRef>
          </c:cat>
          <c:val>
            <c:numRef>
              <c:f>Economic!$E$46:$E$58</c:f>
              <c:numCache>
                <c:formatCode>0.0%</c:formatCode>
                <c:ptCount val="13"/>
                <c:pt idx="0">
                  <c:v>5.9345527492581807E-3</c:v>
                </c:pt>
                <c:pt idx="1">
                  <c:v>1.4209492498223814E-2</c:v>
                </c:pt>
                <c:pt idx="2">
                  <c:v>3.9960714932504908E-2</c:v>
                </c:pt>
                <c:pt idx="3">
                  <c:v>3.6387445495451566E-2</c:v>
                </c:pt>
                <c:pt idx="4">
                  <c:v>1.8632545310170931E-2</c:v>
                </c:pt>
                <c:pt idx="5">
                  <c:v>0.11092459217363443</c:v>
                </c:pt>
                <c:pt idx="6">
                  <c:v>4.8918267556385217E-2</c:v>
                </c:pt>
                <c:pt idx="7">
                  <c:v>9.6798684925400169E-2</c:v>
                </c:pt>
                <c:pt idx="8">
                  <c:v>0.10252427454968446</c:v>
                </c:pt>
                <c:pt idx="9">
                  <c:v>9.4674226488165716E-2</c:v>
                </c:pt>
                <c:pt idx="10">
                  <c:v>7.2008692865998911E-2</c:v>
                </c:pt>
                <c:pt idx="11">
                  <c:v>6.9612582366298428E-2</c:v>
                </c:pt>
                <c:pt idx="12">
                  <c:v>0.28941392808882327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3E-4216-B210-4A32443BD6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8964432"/>
        <c:axId val="198968176"/>
      </c:barChart>
      <c:catAx>
        <c:axId val="198964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968176"/>
        <c:crosses val="autoZero"/>
        <c:auto val="1"/>
        <c:lblAlgn val="ctr"/>
        <c:lblOffset val="100"/>
        <c:noMultiLvlLbl val="0"/>
      </c:catAx>
      <c:valAx>
        <c:axId val="198968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%</a:t>
                </a:r>
                <a:r>
                  <a:rPr lang="en-US" baseline="0"/>
                  <a:t> Employed in Industry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896443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5127996500437446"/>
          <c:y val="0.87094852726742478"/>
          <c:w val="0.57838994502865382"/>
          <c:h val="7.81255468066491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261937</xdr:colOff>
      <xdr:row>8</xdr:row>
      <xdr:rowOff>23812</xdr:rowOff>
    </xdr:from>
    <xdr:to>
      <xdr:col>9</xdr:col>
      <xdr:colOff>195262</xdr:colOff>
      <xdr:row>18</xdr:row>
      <xdr:rowOff>76200</xdr:rowOff>
    </xdr:to>
    <xdr:grpSp>
      <xdr:nvGrpSpPr>
        <xdr:cNvPr id="23" name="Group 22">
          <a:extLst>
            <a:ext uri="{FF2B5EF4-FFF2-40B4-BE49-F238E27FC236}">
              <a16:creationId xmlns:a16="http://schemas.microsoft.com/office/drawing/2014/main" id="{B462AB41-D46D-4B59-9673-B7F420D8A312}"/>
            </a:ext>
          </a:extLst>
        </xdr:cNvPr>
        <xdr:cNvGrpSpPr/>
      </xdr:nvGrpSpPr>
      <xdr:grpSpPr>
        <a:xfrm>
          <a:off x="1785937" y="2119312"/>
          <a:ext cx="5705475" cy="1957388"/>
          <a:chOff x="1481137" y="2146079"/>
          <a:chExt cx="4320852" cy="2743200"/>
        </a:xfrm>
      </xdr:grpSpPr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id="{4F67EC45-0B98-4420-B3FA-711BBF5E4E47}"/>
              </a:ext>
            </a:extLst>
          </xdr:cNvPr>
          <xdr:cNvGraphicFramePr/>
        </xdr:nvGraphicFramePr>
        <xdr:xfrm>
          <a:off x="1481137" y="2146079"/>
          <a:ext cx="4282068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6" name="TextBox 5">
            <a:extLst>
              <a:ext uri="{FF2B5EF4-FFF2-40B4-BE49-F238E27FC236}">
                <a16:creationId xmlns:a16="http://schemas.microsoft.com/office/drawing/2014/main" id="{1E7AC807-BFE1-4036-A3BF-89CBD8E20A67}"/>
              </a:ext>
            </a:extLst>
          </xdr:cNvPr>
          <xdr:cNvSpPr txBox="1"/>
        </xdr:nvSpPr>
        <xdr:spPr>
          <a:xfrm>
            <a:off x="4200525" y="4124325"/>
            <a:ext cx="1601464" cy="24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000"/>
              <a:t>source: U.S.</a:t>
            </a:r>
            <a:r>
              <a:rPr lang="en-US" sz="1000" baseline="0"/>
              <a:t> Census Bureau</a:t>
            </a:r>
            <a:endParaRPr lang="en-US" sz="1000"/>
          </a:p>
        </xdr:txBody>
      </xdr:sp>
    </xdr:grpSp>
    <xdr:clientData/>
  </xdr:twoCellAnchor>
  <xdr:twoCellAnchor>
    <xdr:from>
      <xdr:col>2</xdr:col>
      <xdr:colOff>466725</xdr:colOff>
      <xdr:row>27</xdr:row>
      <xdr:rowOff>119062</xdr:rowOff>
    </xdr:from>
    <xdr:to>
      <xdr:col>9</xdr:col>
      <xdr:colOff>400050</xdr:colOff>
      <xdr:row>39</xdr:row>
      <xdr:rowOff>79462</xdr:rowOff>
    </xdr:to>
    <xdr:graphicFrame macro="">
      <xdr:nvGraphicFramePr>
        <xdr:cNvPr id="25" name="Chart 24">
          <a:extLst>
            <a:ext uri="{FF2B5EF4-FFF2-40B4-BE49-F238E27FC236}">
              <a16:creationId xmlns:a16="http://schemas.microsoft.com/office/drawing/2014/main" id="{769DE213-196B-443C-87C9-03CD83DE509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0.64972</cdr:x>
      <cdr:y>0.87963</cdr:y>
    </cdr:from>
    <cdr:to>
      <cdr:x>1</cdr:x>
      <cdr:y>0.97035</cdr:y>
    </cdr:to>
    <cdr:sp macro="" textlink="">
      <cdr:nvSpPr>
        <cdr:cNvPr id="2" name="TextBox 5">
          <a:extLst xmlns:a="http://schemas.openxmlformats.org/drawingml/2006/main">
            <a:ext uri="{FF2B5EF4-FFF2-40B4-BE49-F238E27FC236}">
              <a16:creationId xmlns:a16="http://schemas.microsoft.com/office/drawing/2014/main" id="{1E7AC807-BFE1-4036-A3BF-89CBD8E20A67}"/>
            </a:ext>
          </a:extLst>
        </cdr:cNvPr>
        <cdr:cNvSpPr txBox="1"/>
      </cdr:nvSpPr>
      <cdr:spPr>
        <a:xfrm xmlns:a="http://schemas.openxmlformats.org/drawingml/2006/main">
          <a:off x="2970536" y="2413000"/>
          <a:ext cx="1601464" cy="24885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/>
            <a:t>source: U.S.</a:t>
          </a:r>
          <a:r>
            <a:rPr lang="en-US" sz="1000" baseline="0"/>
            <a:t> Census Bureau</a:t>
          </a:r>
          <a:endParaRPr lang="en-US" sz="10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252413</xdr:colOff>
      <xdr:row>8</xdr:row>
      <xdr:rowOff>138112</xdr:rowOff>
    </xdr:from>
    <xdr:to>
      <xdr:col>12</xdr:col>
      <xdr:colOff>423863</xdr:colOff>
      <xdr:row>23</xdr:row>
      <xdr:rowOff>23812</xdr:rowOff>
    </xdr:to>
    <xdr:grpSp>
      <xdr:nvGrpSpPr>
        <xdr:cNvPr id="6" name="Group 5">
          <a:extLst>
            <a:ext uri="{FF2B5EF4-FFF2-40B4-BE49-F238E27FC236}">
              <a16:creationId xmlns:a16="http://schemas.microsoft.com/office/drawing/2014/main" id="{56F2C05C-1390-4437-9025-5356F96D3246}"/>
            </a:ext>
          </a:extLst>
        </xdr:cNvPr>
        <xdr:cNvGrpSpPr/>
      </xdr:nvGrpSpPr>
      <xdr:grpSpPr>
        <a:xfrm>
          <a:off x="5195888" y="1852612"/>
          <a:ext cx="5486400" cy="2743200"/>
          <a:chOff x="5057893" y="1871662"/>
          <a:chExt cx="4352846" cy="2743200"/>
        </a:xfrm>
      </xdr:grpSpPr>
      <xdr:graphicFrame macro="">
        <xdr:nvGraphicFramePr>
          <xdr:cNvPr id="2" name="Chart 1">
            <a:extLst>
              <a:ext uri="{FF2B5EF4-FFF2-40B4-BE49-F238E27FC236}">
                <a16:creationId xmlns:a16="http://schemas.microsoft.com/office/drawing/2014/main" id="{93B39E14-BB0A-4CC8-B5B8-DD93E8DEAFF5}"/>
              </a:ext>
            </a:extLst>
          </xdr:cNvPr>
          <xdr:cNvGraphicFramePr/>
        </xdr:nvGraphicFramePr>
        <xdr:xfrm>
          <a:off x="5057893" y="1871662"/>
          <a:ext cx="4352846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3" name="TextBox 2">
            <a:extLst>
              <a:ext uri="{FF2B5EF4-FFF2-40B4-BE49-F238E27FC236}">
                <a16:creationId xmlns:a16="http://schemas.microsoft.com/office/drawing/2014/main" id="{8940DB10-077E-4377-97C3-1916E0575A56}"/>
              </a:ext>
            </a:extLst>
          </xdr:cNvPr>
          <xdr:cNvSpPr txBox="1"/>
        </xdr:nvSpPr>
        <xdr:spPr>
          <a:xfrm>
            <a:off x="5088554" y="4410075"/>
            <a:ext cx="1176797" cy="20191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noAutofit/>
          </a:bodyPr>
          <a:lstStyle/>
          <a:p>
            <a:r>
              <a:rPr lang="en-US" sz="700"/>
              <a:t>source: U.S.</a:t>
            </a:r>
            <a:r>
              <a:rPr lang="en-US" sz="700" baseline="0"/>
              <a:t> Census Bureau</a:t>
            </a:r>
            <a:endParaRPr lang="en-US" sz="700"/>
          </a:p>
        </xdr:txBody>
      </xdr:sp>
    </xdr:grpSp>
    <xdr:clientData/>
  </xdr:twoCellAnchor>
  <xdr:twoCellAnchor>
    <xdr:from>
      <xdr:col>0</xdr:col>
      <xdr:colOff>76200</xdr:colOff>
      <xdr:row>23</xdr:row>
      <xdr:rowOff>71437</xdr:rowOff>
    </xdr:from>
    <xdr:to>
      <xdr:col>5</xdr:col>
      <xdr:colOff>619125</xdr:colOff>
      <xdr:row>37</xdr:row>
      <xdr:rowOff>147637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5E64A2A-9340-494B-8323-3EBFED39A6E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0.00694</cdr:x>
      <cdr:y>0.9213</cdr:y>
    </cdr:from>
    <cdr:to>
      <cdr:x>0.33137</cdr:x>
      <cdr:y>0.9949</cdr:y>
    </cdr:to>
    <cdr:sp macro="" textlink="">
      <cdr:nvSpPr>
        <cdr:cNvPr id="2" name="TextBox 2">
          <a:extLst xmlns:a="http://schemas.openxmlformats.org/drawingml/2006/main">
            <a:ext uri="{FF2B5EF4-FFF2-40B4-BE49-F238E27FC236}">
              <a16:creationId xmlns:a16="http://schemas.microsoft.com/office/drawing/2014/main" id="{8940DB10-077E-4377-97C3-1916E0575A56}"/>
            </a:ext>
          </a:extLst>
        </cdr:cNvPr>
        <cdr:cNvSpPr txBox="1"/>
      </cdr:nvSpPr>
      <cdr:spPr>
        <a:xfrm xmlns:a="http://schemas.openxmlformats.org/drawingml/2006/main">
          <a:off x="31750" y="2527300"/>
          <a:ext cx="1483255" cy="20191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00"/>
            <a:t>source: U.S.</a:t>
          </a:r>
          <a:r>
            <a:rPr lang="en-US" sz="700" baseline="0"/>
            <a:t> Census Bureau</a:t>
          </a:r>
          <a:endParaRPr lang="en-US" sz="7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609599</xdr:colOff>
      <xdr:row>22</xdr:row>
      <xdr:rowOff>4761</xdr:rowOff>
    </xdr:from>
    <xdr:to>
      <xdr:col>13</xdr:col>
      <xdr:colOff>380999</xdr:colOff>
      <xdr:row>41</xdr:row>
      <xdr:rowOff>47625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EE456C8-F765-477A-8572-E928920D573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590550</xdr:colOff>
      <xdr:row>7</xdr:row>
      <xdr:rowOff>157162</xdr:rowOff>
    </xdr:from>
    <xdr:to>
      <xdr:col>21</xdr:col>
      <xdr:colOff>352425</xdr:colOff>
      <xdr:row>20</xdr:row>
      <xdr:rowOff>128587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5BAEA27-F143-4CE2-86E3-DE94E66C35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0.00474</cdr:x>
      <cdr:y>0.93434</cdr:y>
    </cdr:from>
    <cdr:to>
      <cdr:x>0.29142</cdr:x>
      <cdr:y>0.98753</cdr:y>
    </cdr:to>
    <cdr:sp macro="" textlink="">
      <cdr:nvSpPr>
        <cdr:cNvPr id="3" name="TextBox 2">
          <a:extLst xmlns:a="http://schemas.openxmlformats.org/drawingml/2006/main">
            <a:ext uri="{FF2B5EF4-FFF2-40B4-BE49-F238E27FC236}">
              <a16:creationId xmlns:a16="http://schemas.microsoft.com/office/drawing/2014/main" id="{8940DB10-077E-4377-97C3-1916E0575A56}"/>
            </a:ext>
          </a:extLst>
        </cdr:cNvPr>
        <cdr:cNvSpPr txBox="1"/>
      </cdr:nvSpPr>
      <cdr:spPr>
        <a:xfrm xmlns:a="http://schemas.openxmlformats.org/drawingml/2006/main">
          <a:off x="22623" y="3546475"/>
          <a:ext cx="1368027" cy="20191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00"/>
            <a:t>source: MI</a:t>
          </a:r>
          <a:r>
            <a:rPr lang="en-US" sz="700" baseline="0"/>
            <a:t> School Data</a:t>
          </a:r>
          <a:endParaRPr lang="en-US" sz="700"/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</cdr:x>
      <cdr:y>0.9264</cdr:y>
    </cdr:from>
    <cdr:to>
      <cdr:x>0.29922</cdr:x>
      <cdr:y>1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6CC4AB5F-3D97-465E-A44A-DD312C2C7314}"/>
            </a:ext>
          </a:extLst>
        </cdr:cNvPr>
        <cdr:cNvSpPr txBox="1"/>
      </cdr:nvSpPr>
      <cdr:spPr>
        <a:xfrm xmlns:a="http://schemas.openxmlformats.org/drawingml/2006/main">
          <a:off x="0" y="2541306"/>
          <a:ext cx="1368045" cy="20189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00"/>
            <a:t>source: U.S.</a:t>
          </a:r>
          <a:r>
            <a:rPr lang="en-US" sz="700" baseline="0"/>
            <a:t> Census Bureau</a:t>
          </a:r>
          <a:endParaRPr lang="en-US" sz="700"/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319087</xdr:colOff>
      <xdr:row>11</xdr:row>
      <xdr:rowOff>33336</xdr:rowOff>
    </xdr:from>
    <xdr:to>
      <xdr:col>12</xdr:col>
      <xdr:colOff>280987</xdr:colOff>
      <xdr:row>26</xdr:row>
      <xdr:rowOff>123825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BF8C396-9B0C-4D9B-9855-D52F7272EF9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247650</xdr:colOff>
      <xdr:row>43</xdr:row>
      <xdr:rowOff>90487</xdr:rowOff>
    </xdr:from>
    <xdr:to>
      <xdr:col>12</xdr:col>
      <xdr:colOff>209550</xdr:colOff>
      <xdr:row>58</xdr:row>
      <xdr:rowOff>20251</xdr:rowOff>
    </xdr:to>
    <xdr:grpSp>
      <xdr:nvGrpSpPr>
        <xdr:cNvPr id="8" name="Group 7">
          <a:extLst>
            <a:ext uri="{FF2B5EF4-FFF2-40B4-BE49-F238E27FC236}">
              <a16:creationId xmlns:a16="http://schemas.microsoft.com/office/drawing/2014/main" id="{1101F773-BA68-4057-9E03-DDBEBB81D519}"/>
            </a:ext>
          </a:extLst>
        </xdr:cNvPr>
        <xdr:cNvGrpSpPr/>
      </xdr:nvGrpSpPr>
      <xdr:grpSpPr>
        <a:xfrm>
          <a:off x="6315075" y="8853487"/>
          <a:ext cx="5543550" cy="2787264"/>
          <a:chOff x="7296150" y="8853487"/>
          <a:chExt cx="5194132" cy="2787264"/>
        </a:xfrm>
      </xdr:grpSpPr>
      <xdr:graphicFrame macro="">
        <xdr:nvGraphicFramePr>
          <xdr:cNvPr id="6" name="Chart 5">
            <a:extLst>
              <a:ext uri="{FF2B5EF4-FFF2-40B4-BE49-F238E27FC236}">
                <a16:creationId xmlns:a16="http://schemas.microsoft.com/office/drawing/2014/main" id="{5FDF5D31-45B9-471E-85A7-426C537BBD2F}"/>
              </a:ext>
            </a:extLst>
          </xdr:cNvPr>
          <xdr:cNvGraphicFramePr/>
        </xdr:nvGraphicFramePr>
        <xdr:xfrm>
          <a:off x="7324724" y="8853487"/>
          <a:ext cx="5165558" cy="2743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7" name="TextBox 6">
            <a:extLst>
              <a:ext uri="{FF2B5EF4-FFF2-40B4-BE49-F238E27FC236}">
                <a16:creationId xmlns:a16="http://schemas.microsoft.com/office/drawing/2014/main" id="{DD10BB4F-966D-49F3-8E7B-FAD4EC565BA1}"/>
              </a:ext>
            </a:extLst>
          </xdr:cNvPr>
          <xdr:cNvSpPr txBox="1"/>
        </xdr:nvSpPr>
        <xdr:spPr>
          <a:xfrm>
            <a:off x="7296150" y="11391900"/>
            <a:ext cx="1601464" cy="248851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en-US" sz="1000"/>
              <a:t>source: U.S. Census Bureau</a:t>
            </a:r>
          </a:p>
        </xdr:txBody>
      </xdr:sp>
    </xdr:grpSp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0.92678</cdr:y>
    </cdr:from>
    <cdr:to>
      <cdr:x>0.31799</cdr:x>
      <cdr:y>1</cdr:y>
    </cdr:to>
    <cdr:sp macro="" textlink="">
      <cdr:nvSpPr>
        <cdr:cNvPr id="2" name="TextBox 2">
          <a:extLst xmlns:a="http://schemas.openxmlformats.org/drawingml/2006/main">
            <a:ext uri="{FF2B5EF4-FFF2-40B4-BE49-F238E27FC236}">
              <a16:creationId xmlns:a16="http://schemas.microsoft.com/office/drawing/2014/main" id="{8940DB10-077E-4377-97C3-1916E0575A56}"/>
            </a:ext>
          </a:extLst>
        </cdr:cNvPr>
        <cdr:cNvSpPr txBox="1"/>
      </cdr:nvSpPr>
      <cdr:spPr>
        <a:xfrm xmlns:a="http://schemas.openxmlformats.org/drawingml/2006/main">
          <a:off x="0" y="2555574"/>
          <a:ext cx="1453835" cy="20191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700"/>
            <a:t>source: U.S.</a:t>
          </a:r>
          <a:r>
            <a:rPr lang="en-US" sz="700" baseline="0"/>
            <a:t> Census Bureau</a:t>
          </a:r>
          <a:endParaRPr lang="en-US" sz="7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D3EBCB-3179-4E56-8A13-305C1434BC54}">
  <dimension ref="A1:P80"/>
  <sheetViews>
    <sheetView tabSelected="1" workbookViewId="0">
      <pane ySplit="1" topLeftCell="A14" activePane="bottomLeft" state="frozen"/>
      <selection pane="bottomLeft" activeCell="B85" sqref="B85"/>
    </sheetView>
  </sheetViews>
  <sheetFormatPr defaultRowHeight="15" x14ac:dyDescent="0.25"/>
  <cols>
    <col min="1" max="1" width="38" customWidth="1"/>
    <col min="2" max="2" width="14.5703125" bestFit="1" customWidth="1"/>
    <col min="3" max="3" width="15.140625" customWidth="1"/>
    <col min="4" max="4" width="15.7109375" customWidth="1"/>
    <col min="5" max="5" width="3.140625" style="5" customWidth="1"/>
    <col min="6" max="6" width="12.5703125" bestFit="1" customWidth="1"/>
    <col min="7" max="8" width="15.28515625" bestFit="1" customWidth="1"/>
    <col min="9" max="9" width="3.28515625" style="5" customWidth="1"/>
    <col min="10" max="10" width="11.5703125" bestFit="1" customWidth="1"/>
    <col min="11" max="11" width="12.5703125" customWidth="1"/>
    <col min="12" max="12" width="13.140625" customWidth="1"/>
    <col min="13" max="13" width="3.7109375" style="5" customWidth="1"/>
    <col min="14" max="14" width="12.5703125" bestFit="1" customWidth="1"/>
    <col min="15" max="15" width="16.28515625" bestFit="1" customWidth="1"/>
    <col min="16" max="16" width="14.5703125" customWidth="1"/>
  </cols>
  <sheetData>
    <row r="1" spans="1:16" s="2" customFormat="1" ht="30" x14ac:dyDescent="0.25">
      <c r="B1" s="2" t="s">
        <v>59</v>
      </c>
      <c r="C1" s="2" t="s">
        <v>60</v>
      </c>
      <c r="D1" s="2" t="s">
        <v>61</v>
      </c>
      <c r="E1" s="4"/>
      <c r="F1" s="2" t="s">
        <v>62</v>
      </c>
      <c r="G1" s="2" t="s">
        <v>63</v>
      </c>
      <c r="H1" s="2" t="s">
        <v>64</v>
      </c>
      <c r="I1" s="4"/>
      <c r="J1" s="2" t="s">
        <v>65</v>
      </c>
      <c r="K1" s="2" t="s">
        <v>66</v>
      </c>
      <c r="L1" s="2" t="s">
        <v>67</v>
      </c>
      <c r="M1" s="4"/>
      <c r="N1" s="2" t="s">
        <v>68</v>
      </c>
      <c r="O1" s="2" t="s">
        <v>69</v>
      </c>
      <c r="P1" s="2" t="s">
        <v>70</v>
      </c>
    </row>
    <row r="2" spans="1:16" x14ac:dyDescent="0.25">
      <c r="A2" s="1" t="s">
        <v>236</v>
      </c>
    </row>
    <row r="3" spans="1:16" x14ac:dyDescent="0.25">
      <c r="A3" t="s">
        <v>0</v>
      </c>
      <c r="B3" s="54">
        <v>279320</v>
      </c>
      <c r="C3" s="54">
        <v>280895</v>
      </c>
      <c r="D3" s="54">
        <v>290587</v>
      </c>
      <c r="F3" s="54">
        <v>11283</v>
      </c>
      <c r="G3" s="54">
        <v>19220</v>
      </c>
      <c r="H3" s="54">
        <v>19565</v>
      </c>
      <c r="I3" s="59"/>
      <c r="J3" s="54">
        <v>1503</v>
      </c>
      <c r="K3" s="54">
        <v>1272</v>
      </c>
      <c r="L3" s="54">
        <v>1322</v>
      </c>
      <c r="M3" s="59"/>
      <c r="N3" s="54">
        <v>3441</v>
      </c>
      <c r="O3" s="54">
        <v>3854</v>
      </c>
      <c r="P3" s="54">
        <v>3959</v>
      </c>
    </row>
    <row r="4" spans="1:16" x14ac:dyDescent="0.25">
      <c r="A4" t="s">
        <v>2</v>
      </c>
      <c r="B4">
        <v>499.5</v>
      </c>
      <c r="C4">
        <v>505.1</v>
      </c>
      <c r="D4">
        <v>522.6</v>
      </c>
      <c r="F4" s="54">
        <v>1354.8</v>
      </c>
      <c r="G4" s="54">
        <v>1250.5</v>
      </c>
      <c r="H4" s="54">
        <v>1271.0999999999999</v>
      </c>
      <c r="I4" s="59"/>
      <c r="J4" s="54">
        <v>1207</v>
      </c>
      <c r="K4" s="54">
        <v>694.2</v>
      </c>
      <c r="L4" s="54">
        <v>726.4</v>
      </c>
      <c r="M4" s="59"/>
      <c r="N4" s="54">
        <v>1351.2</v>
      </c>
      <c r="O4" s="54">
        <v>1582.5</v>
      </c>
      <c r="P4" s="54">
        <v>1613.6</v>
      </c>
    </row>
    <row r="5" spans="1:16" x14ac:dyDescent="0.25">
      <c r="A5" t="s">
        <v>1</v>
      </c>
      <c r="B5">
        <v>30.4</v>
      </c>
      <c r="C5">
        <v>31.4</v>
      </c>
      <c r="D5">
        <v>32</v>
      </c>
      <c r="F5">
        <v>37.6</v>
      </c>
      <c r="G5">
        <v>39.4</v>
      </c>
      <c r="H5">
        <v>40.1</v>
      </c>
      <c r="J5">
        <v>31.1</v>
      </c>
      <c r="K5">
        <v>35.6</v>
      </c>
      <c r="L5">
        <v>36.799999999999997</v>
      </c>
      <c r="N5">
        <v>33.700000000000003</v>
      </c>
      <c r="O5">
        <v>35.9</v>
      </c>
      <c r="P5">
        <v>37.5</v>
      </c>
    </row>
    <row r="6" spans="1:16" x14ac:dyDescent="0.25">
      <c r="A6" t="s">
        <v>3</v>
      </c>
    </row>
    <row r="7" spans="1:16" x14ac:dyDescent="0.25">
      <c r="A7" t="s">
        <v>29</v>
      </c>
      <c r="B7" s="63">
        <v>0.48299999999999998</v>
      </c>
      <c r="C7" s="63">
        <v>0.48599999999999999</v>
      </c>
      <c r="D7" s="63">
        <v>0.48699999999999999</v>
      </c>
      <c r="F7" s="63">
        <f>5214/F3</f>
        <v>0.46211114065408138</v>
      </c>
      <c r="G7" s="63">
        <f>9052/G3</f>
        <v>0.47096774193548385</v>
      </c>
      <c r="H7" s="63">
        <f>9241/H3</f>
        <v>0.4723230258113979</v>
      </c>
      <c r="J7" s="63">
        <f>726/J3</f>
        <v>0.48303393213572854</v>
      </c>
      <c r="K7" s="63">
        <f>631/K3</f>
        <v>0.49606918238993708</v>
      </c>
      <c r="L7" s="63">
        <f>618/L3</f>
        <v>0.46747352496217853</v>
      </c>
      <c r="N7" s="63">
        <f>1615/N3</f>
        <v>0.46934030804998544</v>
      </c>
      <c r="O7" s="63">
        <f>1837/O3</f>
        <v>0.47664763881681371</v>
      </c>
      <c r="P7" s="63">
        <f>1876/P3</f>
        <v>0.47385703460469814</v>
      </c>
    </row>
    <row r="8" spans="1:16" x14ac:dyDescent="0.25">
      <c r="A8" t="s">
        <v>30</v>
      </c>
      <c r="B8" s="63">
        <v>0.51700000000000002</v>
      </c>
      <c r="C8" s="63">
        <v>0.51400000000000001</v>
      </c>
      <c r="D8" s="63">
        <v>0.51300000000000001</v>
      </c>
      <c r="F8" s="63">
        <f>6069/F3</f>
        <v>0.53788885934591868</v>
      </c>
      <c r="G8" s="63">
        <f>10168/G3</f>
        <v>0.52903225806451615</v>
      </c>
      <c r="H8" s="63">
        <f>10324/H3</f>
        <v>0.52767697418860204</v>
      </c>
      <c r="J8" s="63">
        <f>777/J3</f>
        <v>0.51696606786427146</v>
      </c>
      <c r="K8" s="63">
        <f>641/K3</f>
        <v>0.50393081761006286</v>
      </c>
      <c r="L8" s="63">
        <f>704/L3</f>
        <v>0.53252647503782147</v>
      </c>
      <c r="N8" s="63">
        <f>1826/N3</f>
        <v>0.5306596919500145</v>
      </c>
      <c r="O8" s="63">
        <f>2017/O3</f>
        <v>0.52335236118318629</v>
      </c>
      <c r="P8" s="63">
        <f>2083/P3</f>
        <v>0.52614296539530181</v>
      </c>
    </row>
    <row r="9" spans="1:16" x14ac:dyDescent="0.25">
      <c r="A9" t="s">
        <v>76</v>
      </c>
    </row>
    <row r="10" spans="1:16" x14ac:dyDescent="0.25">
      <c r="A10" t="s">
        <v>4</v>
      </c>
      <c r="B10" s="63">
        <v>0.79500000000000004</v>
      </c>
      <c r="C10" s="63">
        <v>0.76200000000000001</v>
      </c>
      <c r="D10" s="63">
        <v>0.74299999999999999</v>
      </c>
      <c r="F10" s="7">
        <f>10422/F3</f>
        <v>0.92369050784365858</v>
      </c>
      <c r="G10" s="7">
        <f>16279/G3</f>
        <v>0.84698231009365244</v>
      </c>
      <c r="H10" s="7">
        <f>15697/H3</f>
        <v>0.80230002555583946</v>
      </c>
      <c r="J10" s="7">
        <f>1458/J3</f>
        <v>0.97005988023952094</v>
      </c>
      <c r="K10" s="7">
        <f>1240/K3</f>
        <v>0.97484276729559749</v>
      </c>
      <c r="L10" s="7">
        <f>1306/L3</f>
        <v>0.98789712556732223</v>
      </c>
      <c r="N10" s="7">
        <f>3336/N3</f>
        <v>0.96948561464690497</v>
      </c>
      <c r="O10" s="7">
        <f>3640/O3</f>
        <v>0.9444732745199792</v>
      </c>
      <c r="P10" s="7">
        <f>3782/P3</f>
        <v>0.95529174033846931</v>
      </c>
    </row>
    <row r="11" spans="1:16" x14ac:dyDescent="0.25">
      <c r="A11" t="s">
        <v>5</v>
      </c>
      <c r="B11" s="63">
        <v>0.109</v>
      </c>
      <c r="C11" s="63">
        <v>0.11799999999999999</v>
      </c>
      <c r="D11" s="63">
        <v>0.11700000000000001</v>
      </c>
      <c r="F11" s="7">
        <f>270/F3</f>
        <v>2.3929805902685456E-2</v>
      </c>
      <c r="G11" s="7">
        <f>850/G3</f>
        <v>4.4224765868886573E-2</v>
      </c>
      <c r="H11" s="7">
        <f>687/H3</f>
        <v>3.5113723485816511E-2</v>
      </c>
      <c r="J11" s="7">
        <f>9/J3</f>
        <v>5.9880239520958087E-3</v>
      </c>
      <c r="K11" s="7">
        <f>7/K3</f>
        <v>5.50314465408805E-3</v>
      </c>
      <c r="L11" s="7">
        <v>0</v>
      </c>
      <c r="N11" s="7">
        <f>6/N3</f>
        <v>1.7436791630340018E-3</v>
      </c>
      <c r="O11" s="7">
        <f>36/O3</f>
        <v>9.3409444732745206E-3</v>
      </c>
      <c r="P11" s="7">
        <f>1/P3</f>
        <v>2.5258903763576663E-4</v>
      </c>
    </row>
    <row r="12" spans="1:16" x14ac:dyDescent="0.25">
      <c r="A12" t="s">
        <v>6</v>
      </c>
      <c r="B12" s="63">
        <v>3.7999999999999999E-2</v>
      </c>
      <c r="C12" s="63">
        <v>5.1999999999999998E-2</v>
      </c>
      <c r="D12" s="63">
        <v>6.8000000000000005E-2</v>
      </c>
      <c r="F12" s="7">
        <f>(304+3)/F3</f>
        <v>2.7209075600460871E-2</v>
      </c>
      <c r="G12" s="7">
        <f>(1256+5)/G3</f>
        <v>6.5608740894901138E-2</v>
      </c>
      <c r="H12" s="7">
        <f>(1996+0)/H3</f>
        <v>0.1020189113212369</v>
      </c>
      <c r="J12" s="7">
        <f>5/J3</f>
        <v>3.3266799733865601E-3</v>
      </c>
      <c r="K12" s="7">
        <f>(1+0)/K3</f>
        <v>7.8616352201257866E-4</v>
      </c>
      <c r="L12" s="7">
        <v>0</v>
      </c>
      <c r="N12" s="7">
        <f>(24+0)/N3</f>
        <v>6.9747166521360072E-3</v>
      </c>
      <c r="O12" s="7">
        <f>(41+2)/O3</f>
        <v>1.1157239231966787E-2</v>
      </c>
      <c r="P12" s="7">
        <f>14/P3</f>
        <v>3.5362465269007325E-3</v>
      </c>
    </row>
    <row r="13" spans="1:16" x14ac:dyDescent="0.25">
      <c r="A13" t="s">
        <v>7</v>
      </c>
      <c r="B13" s="63">
        <v>6.0000000000000001E-3</v>
      </c>
      <c r="C13" s="63">
        <v>6.0000000000000001E-3</v>
      </c>
      <c r="D13" s="63">
        <v>4.0000000000000001E-3</v>
      </c>
      <c r="F13" s="7">
        <f>34/F3</f>
        <v>3.0133829655233538E-3</v>
      </c>
      <c r="G13" s="7">
        <f>77/G3</f>
        <v>4.0062434963579604E-3</v>
      </c>
      <c r="H13" s="7">
        <f>52/H3</f>
        <v>2.6578073089700998E-3</v>
      </c>
      <c r="J13" s="7">
        <f>4/J3</f>
        <v>2.6613439787092482E-3</v>
      </c>
      <c r="K13" s="7">
        <f>2/K3</f>
        <v>1.5723270440251573E-3</v>
      </c>
      <c r="L13" s="7">
        <v>0</v>
      </c>
      <c r="N13" s="7">
        <f>11/N3</f>
        <v>3.1967451322290033E-3</v>
      </c>
      <c r="O13" s="7">
        <f>19/O3</f>
        <v>4.9299429164504412E-3</v>
      </c>
      <c r="P13" s="7">
        <v>0</v>
      </c>
    </row>
    <row r="14" spans="1:16" x14ac:dyDescent="0.25">
      <c r="A14" t="s">
        <v>8</v>
      </c>
      <c r="B14" s="63">
        <v>5.3999999999999999E-2</v>
      </c>
      <c r="C14" s="63">
        <v>6.3E-2</v>
      </c>
      <c r="D14" s="63">
        <v>2.41E-2</v>
      </c>
      <c r="F14" s="7">
        <f>(82+166)/F3</f>
        <v>2.1979969866170346E-2</v>
      </c>
      <c r="G14" s="7">
        <f>(180+573)/G3</f>
        <v>3.9177939646201872E-2</v>
      </c>
      <c r="H14" s="7">
        <f>(755+378)/H3</f>
        <v>5.7909532328136983E-2</v>
      </c>
      <c r="J14" s="7">
        <f>(6+21)/J3</f>
        <v>1.7964071856287425E-2</v>
      </c>
      <c r="K14" s="7">
        <f>(10+12)/K3</f>
        <v>1.7295597484276729E-2</v>
      </c>
      <c r="L14" s="7">
        <f>16/L3</f>
        <v>1.2102874432677761E-2</v>
      </c>
      <c r="N14" s="7">
        <f>(24+40)/N3</f>
        <v>1.8599244405696019E-2</v>
      </c>
      <c r="O14" s="7">
        <f>(27+89)/O3</f>
        <v>3.0098598858329009E-2</v>
      </c>
      <c r="P14" s="7">
        <f>162/P3</f>
        <v>4.0919424096994193E-2</v>
      </c>
    </row>
    <row r="15" spans="1:16" x14ac:dyDescent="0.25">
      <c r="A15" t="s">
        <v>9</v>
      </c>
      <c r="B15" s="85">
        <v>2.4</v>
      </c>
      <c r="C15" s="85">
        <v>2.36</v>
      </c>
      <c r="D15" s="85">
        <v>2.41</v>
      </c>
      <c r="F15">
        <v>2.2000000000000002</v>
      </c>
      <c r="G15">
        <v>2.15</v>
      </c>
      <c r="H15">
        <v>2.19</v>
      </c>
      <c r="J15">
        <v>2.7</v>
      </c>
      <c r="K15">
        <v>2.5</v>
      </c>
      <c r="L15">
        <v>2.61</v>
      </c>
      <c r="N15">
        <v>2.2999999999999998</v>
      </c>
      <c r="O15">
        <v>2.4</v>
      </c>
      <c r="P15">
        <v>2.35</v>
      </c>
    </row>
    <row r="16" spans="1:16" x14ac:dyDescent="0.25">
      <c r="A16" t="s">
        <v>10</v>
      </c>
      <c r="B16" s="85">
        <v>3.04</v>
      </c>
      <c r="C16" s="85">
        <v>3</v>
      </c>
      <c r="D16" s="85">
        <v>3.1</v>
      </c>
      <c r="F16">
        <v>2.9</v>
      </c>
      <c r="G16">
        <v>2.86</v>
      </c>
      <c r="H16">
        <v>2.94</v>
      </c>
      <c r="J16">
        <v>3.12</v>
      </c>
      <c r="K16">
        <v>3.01</v>
      </c>
      <c r="L16">
        <v>3.12</v>
      </c>
      <c r="N16">
        <v>2.99</v>
      </c>
      <c r="O16">
        <v>3.05</v>
      </c>
      <c r="P16">
        <v>3.21</v>
      </c>
    </row>
    <row r="18" spans="1:16" x14ac:dyDescent="0.25">
      <c r="A18" s="1" t="s">
        <v>11</v>
      </c>
    </row>
    <row r="19" spans="1:16" x14ac:dyDescent="0.25">
      <c r="A19" s="3" t="s">
        <v>14</v>
      </c>
      <c r="B19" s="54">
        <v>115056</v>
      </c>
      <c r="C19" s="54">
        <v>121281</v>
      </c>
      <c r="D19" s="54">
        <v>123570</v>
      </c>
      <c r="E19" s="59"/>
      <c r="F19" s="54">
        <v>5355</v>
      </c>
      <c r="G19" s="54">
        <v>9557</v>
      </c>
      <c r="H19" s="54">
        <v>9407</v>
      </c>
      <c r="I19" s="59"/>
      <c r="J19" s="54">
        <v>612</v>
      </c>
      <c r="K19" s="54">
        <v>573</v>
      </c>
      <c r="L19" s="54">
        <v>559</v>
      </c>
      <c r="M19" s="59"/>
      <c r="N19" s="54">
        <v>1528</v>
      </c>
      <c r="O19" s="54">
        <v>1789</v>
      </c>
      <c r="P19" s="54">
        <v>1867</v>
      </c>
    </row>
    <row r="20" spans="1:16" x14ac:dyDescent="0.25">
      <c r="A20" t="s">
        <v>12</v>
      </c>
      <c r="B20" s="56">
        <v>97700</v>
      </c>
      <c r="C20" s="56">
        <v>137900</v>
      </c>
      <c r="D20" s="56">
        <v>135600</v>
      </c>
      <c r="E20" s="60"/>
      <c r="F20" s="56">
        <v>141700</v>
      </c>
      <c r="G20" s="56">
        <v>194800</v>
      </c>
      <c r="H20" s="56">
        <v>198400</v>
      </c>
      <c r="I20" s="60"/>
      <c r="J20" s="56">
        <v>95800</v>
      </c>
      <c r="K20" s="56">
        <v>119300</v>
      </c>
      <c r="L20" s="56">
        <v>112200</v>
      </c>
      <c r="M20" s="60"/>
      <c r="N20" s="56">
        <v>109900</v>
      </c>
      <c r="O20" s="56">
        <v>150500</v>
      </c>
      <c r="P20" s="56">
        <v>161900</v>
      </c>
    </row>
    <row r="21" spans="1:16" x14ac:dyDescent="0.25">
      <c r="A21" t="s">
        <v>13</v>
      </c>
      <c r="B21" s="56">
        <v>542</v>
      </c>
      <c r="C21" s="56">
        <v>726</v>
      </c>
      <c r="D21" s="56">
        <v>877</v>
      </c>
      <c r="E21" s="60"/>
      <c r="F21" s="56">
        <v>586</v>
      </c>
      <c r="G21" s="56">
        <v>776</v>
      </c>
      <c r="H21" s="56">
        <v>871</v>
      </c>
      <c r="I21" s="60"/>
      <c r="J21" s="56">
        <v>588</v>
      </c>
      <c r="K21" s="56">
        <v>884</v>
      </c>
      <c r="L21" s="56">
        <v>727</v>
      </c>
      <c r="M21" s="60"/>
      <c r="N21" s="56">
        <v>510</v>
      </c>
      <c r="O21" s="56">
        <v>546</v>
      </c>
      <c r="P21" s="56">
        <v>803</v>
      </c>
    </row>
    <row r="22" spans="1:16" x14ac:dyDescent="0.25">
      <c r="A22" t="s">
        <v>15</v>
      </c>
      <c r="B22" s="54">
        <v>108593</v>
      </c>
      <c r="C22" s="54">
        <v>111162</v>
      </c>
      <c r="D22" s="54">
        <v>112840</v>
      </c>
      <c r="E22" s="59"/>
      <c r="F22" s="54">
        <v>5132</v>
      </c>
      <c r="G22" s="54">
        <v>8918</v>
      </c>
      <c r="H22" s="54">
        <v>8910</v>
      </c>
      <c r="I22" s="59"/>
      <c r="J22" s="54">
        <v>561</v>
      </c>
      <c r="K22" s="54">
        <v>508</v>
      </c>
      <c r="L22" s="54">
        <v>506</v>
      </c>
      <c r="M22" s="59"/>
      <c r="N22" s="54">
        <v>1470</v>
      </c>
      <c r="O22" s="54">
        <v>1605</v>
      </c>
      <c r="P22" s="54">
        <v>1685</v>
      </c>
    </row>
    <row r="23" spans="1:16" x14ac:dyDescent="0.25">
      <c r="A23" t="s">
        <v>16</v>
      </c>
      <c r="B23" s="54">
        <f>B19-B22</f>
        <v>6463</v>
      </c>
      <c r="C23" s="54">
        <v>10119</v>
      </c>
      <c r="D23" s="54">
        <v>10730</v>
      </c>
      <c r="E23" s="59"/>
      <c r="F23" s="54">
        <f>F19-F22</f>
        <v>223</v>
      </c>
      <c r="G23" s="54">
        <v>639</v>
      </c>
      <c r="H23" s="54">
        <v>497</v>
      </c>
      <c r="I23" s="59"/>
      <c r="J23" s="54">
        <f>J19-J22</f>
        <v>51</v>
      </c>
      <c r="K23" s="54">
        <v>65</v>
      </c>
      <c r="L23" s="54">
        <v>53</v>
      </c>
      <c r="M23" s="59"/>
      <c r="N23" s="54">
        <f>N19-N22</f>
        <v>58</v>
      </c>
      <c r="O23" s="54">
        <v>184</v>
      </c>
      <c r="P23" s="54">
        <v>182</v>
      </c>
    </row>
    <row r="24" spans="1:16" x14ac:dyDescent="0.25">
      <c r="A24" t="s">
        <v>84</v>
      </c>
      <c r="B24" s="63">
        <v>5.6000000000000001E-2</v>
      </c>
      <c r="C24" s="63">
        <v>8.3000000000000004E-2</v>
      </c>
      <c r="D24" s="63">
        <v>8.6999999999999994E-2</v>
      </c>
      <c r="F24" s="63">
        <v>4.2000000000000003E-2</v>
      </c>
      <c r="G24" s="63">
        <v>6.7000000000000004E-2</v>
      </c>
      <c r="H24" s="63">
        <v>5.2999999999999999E-2</v>
      </c>
      <c r="J24" s="63">
        <v>8.3000000000000004E-2</v>
      </c>
      <c r="K24" s="63">
        <v>0.113</v>
      </c>
      <c r="L24" s="63">
        <v>9.5000000000000001E-2</v>
      </c>
      <c r="M24" s="87"/>
      <c r="N24" s="63">
        <v>3.7999999999999999E-2</v>
      </c>
      <c r="O24" s="63">
        <v>0.10299999999999999</v>
      </c>
      <c r="P24" s="63">
        <v>9.8000000000000004E-2</v>
      </c>
    </row>
    <row r="25" spans="1:16" x14ac:dyDescent="0.25">
      <c r="A25" t="s">
        <v>46</v>
      </c>
    </row>
    <row r="26" spans="1:16" x14ac:dyDescent="0.25">
      <c r="A26" t="s">
        <v>36</v>
      </c>
      <c r="D26" s="63">
        <f>1999/D19</f>
        <v>1.6177065630816542E-2</v>
      </c>
      <c r="F26" s="11" t="s">
        <v>85</v>
      </c>
      <c r="G26" s="11" t="s">
        <v>85</v>
      </c>
      <c r="H26" s="63">
        <f>101/H19</f>
        <v>1.0736685447007548E-2</v>
      </c>
      <c r="J26" s="11" t="s">
        <v>85</v>
      </c>
      <c r="K26" s="11" t="s">
        <v>85</v>
      </c>
      <c r="L26" s="63">
        <f>2/L19</f>
        <v>3.5778175313059034E-3</v>
      </c>
      <c r="N26" s="11" t="s">
        <v>85</v>
      </c>
      <c r="O26" s="11" t="s">
        <v>85</v>
      </c>
      <c r="P26" s="63">
        <v>0</v>
      </c>
    </row>
    <row r="27" spans="1:16" x14ac:dyDescent="0.25">
      <c r="A27" t="s">
        <v>37</v>
      </c>
      <c r="B27" s="11" t="s">
        <v>86</v>
      </c>
      <c r="C27" s="11" t="s">
        <v>85</v>
      </c>
      <c r="D27" s="63">
        <f>1727/D19</f>
        <v>1.3975884114267216E-2</v>
      </c>
      <c r="F27" s="11" t="s">
        <v>85</v>
      </c>
      <c r="G27" s="11" t="s">
        <v>85</v>
      </c>
      <c r="H27" s="63">
        <f>87/H19</f>
        <v>9.2484320187094723E-3</v>
      </c>
      <c r="J27" s="11" t="s">
        <v>85</v>
      </c>
      <c r="K27" s="11" t="s">
        <v>85</v>
      </c>
      <c r="L27" s="63">
        <f>0</f>
        <v>0</v>
      </c>
      <c r="N27" s="11" t="s">
        <v>85</v>
      </c>
      <c r="O27" s="11" t="s">
        <v>85</v>
      </c>
      <c r="P27" s="63">
        <v>0</v>
      </c>
    </row>
    <row r="28" spans="1:16" x14ac:dyDescent="0.25">
      <c r="A28" t="s">
        <v>38</v>
      </c>
      <c r="B28" s="11" t="s">
        <v>85</v>
      </c>
      <c r="C28" s="11" t="s">
        <v>85</v>
      </c>
      <c r="D28" s="63">
        <f>10706/D19</f>
        <v>8.6639151897709807E-2</v>
      </c>
      <c r="F28" s="11" t="s">
        <v>85</v>
      </c>
      <c r="G28" s="11" t="s">
        <v>85</v>
      </c>
      <c r="H28" s="63">
        <f>930/H19</f>
        <v>9.886254916551504E-2</v>
      </c>
      <c r="J28" s="11" t="s">
        <v>85</v>
      </c>
      <c r="K28" s="11" t="s">
        <v>85</v>
      </c>
      <c r="L28" s="63">
        <f>33/L19</f>
        <v>5.9033989266547404E-2</v>
      </c>
      <c r="N28" s="11" t="s">
        <v>85</v>
      </c>
      <c r="O28" s="11" t="s">
        <v>85</v>
      </c>
      <c r="P28" s="63">
        <f>480/P19</f>
        <v>0.25709694697375468</v>
      </c>
    </row>
    <row r="29" spans="1:16" x14ac:dyDescent="0.25">
      <c r="A29" t="s">
        <v>39</v>
      </c>
      <c r="B29" s="11" t="s">
        <v>85</v>
      </c>
      <c r="C29" s="11" t="s">
        <v>85</v>
      </c>
      <c r="D29" s="63">
        <f>13449/D19</f>
        <v>0.10883709638261714</v>
      </c>
      <c r="F29" s="11" t="s">
        <v>85</v>
      </c>
      <c r="G29" s="11" t="s">
        <v>85</v>
      </c>
      <c r="H29" s="63">
        <f>1457/H19</f>
        <v>0.1548846603593069</v>
      </c>
      <c r="J29" s="11" t="s">
        <v>85</v>
      </c>
      <c r="K29" s="11" t="s">
        <v>85</v>
      </c>
      <c r="L29" s="63">
        <f>70/L19</f>
        <v>0.12522361359570661</v>
      </c>
      <c r="N29" s="11" t="s">
        <v>85</v>
      </c>
      <c r="O29" s="11" t="s">
        <v>85</v>
      </c>
      <c r="P29" s="63">
        <f>460/P19</f>
        <v>0.24638457418318158</v>
      </c>
    </row>
    <row r="30" spans="1:16" x14ac:dyDescent="0.25">
      <c r="A30" t="s">
        <v>40</v>
      </c>
      <c r="B30" s="11" t="s">
        <v>85</v>
      </c>
      <c r="C30" s="11" t="s">
        <v>85</v>
      </c>
      <c r="D30" s="63">
        <f>12912/D19</f>
        <v>0.10449138140325322</v>
      </c>
      <c r="F30" s="11" t="s">
        <v>85</v>
      </c>
      <c r="G30" s="11" t="s">
        <v>85</v>
      </c>
      <c r="H30" s="63">
        <f>2175/H19</f>
        <v>0.23121080046773679</v>
      </c>
      <c r="J30" s="11" t="s">
        <v>85</v>
      </c>
      <c r="K30" s="11" t="s">
        <v>85</v>
      </c>
      <c r="L30" s="63">
        <f>91/L19</f>
        <v>0.16279069767441862</v>
      </c>
      <c r="N30" s="11" t="s">
        <v>85</v>
      </c>
      <c r="O30" s="11" t="s">
        <v>85</v>
      </c>
      <c r="P30" s="63">
        <f>191/P19</f>
        <v>0.10230316014997322</v>
      </c>
    </row>
    <row r="31" spans="1:16" x14ac:dyDescent="0.25">
      <c r="A31" t="s">
        <v>41</v>
      </c>
      <c r="B31" s="11" t="s">
        <v>85</v>
      </c>
      <c r="C31" s="11" t="s">
        <v>85</v>
      </c>
      <c r="D31" s="63">
        <f>19816/D19</f>
        <v>0.16036254754390225</v>
      </c>
      <c r="F31" s="11" t="s">
        <v>85</v>
      </c>
      <c r="G31" s="11" t="s">
        <v>85</v>
      </c>
      <c r="H31" s="63">
        <f>2095/H19</f>
        <v>0.22270649516317637</v>
      </c>
      <c r="J31" s="11" t="s">
        <v>85</v>
      </c>
      <c r="K31" s="11" t="s">
        <v>85</v>
      </c>
      <c r="L31" s="63">
        <f>118/L19</f>
        <v>0.2110912343470483</v>
      </c>
      <c r="N31" s="11" t="s">
        <v>85</v>
      </c>
      <c r="O31" s="11" t="s">
        <v>85</v>
      </c>
      <c r="P31" s="63">
        <f>125/P19</f>
        <v>6.6952329941081953E-2</v>
      </c>
    </row>
    <row r="32" spans="1:16" x14ac:dyDescent="0.25">
      <c r="A32" t="s">
        <v>42</v>
      </c>
      <c r="B32" s="11" t="s">
        <v>85</v>
      </c>
      <c r="C32" s="11" t="s">
        <v>85</v>
      </c>
      <c r="D32" s="63">
        <f>16957/D19</f>
        <v>0.13722586388281946</v>
      </c>
      <c r="F32" s="11" t="s">
        <v>85</v>
      </c>
      <c r="G32" s="11" t="s">
        <v>85</v>
      </c>
      <c r="H32" s="63">
        <f>905/H19</f>
        <v>9.6204953757839912E-2</v>
      </c>
      <c r="J32" s="11" t="s">
        <v>85</v>
      </c>
      <c r="K32" s="11" t="s">
        <v>85</v>
      </c>
      <c r="L32" s="63">
        <f>36/L19</f>
        <v>6.4400715563506267E-2</v>
      </c>
      <c r="N32" s="11" t="s">
        <v>85</v>
      </c>
      <c r="O32" s="11" t="s">
        <v>85</v>
      </c>
      <c r="P32" s="63">
        <f>155/P19</f>
        <v>8.3020889126941624E-2</v>
      </c>
    </row>
    <row r="33" spans="1:16" x14ac:dyDescent="0.25">
      <c r="A33" t="s">
        <v>43</v>
      </c>
      <c r="B33" s="11" t="s">
        <v>85</v>
      </c>
      <c r="C33" s="11" t="s">
        <v>85</v>
      </c>
      <c r="D33" s="63">
        <f>16876/D19</f>
        <v>0.13657036497531763</v>
      </c>
      <c r="F33" s="11" t="s">
        <v>85</v>
      </c>
      <c r="G33" s="11" t="s">
        <v>85</v>
      </c>
      <c r="H33" s="63">
        <f>902/H19</f>
        <v>9.5886042308918895E-2</v>
      </c>
      <c r="J33" s="11" t="s">
        <v>85</v>
      </c>
      <c r="K33" s="11" t="s">
        <v>85</v>
      </c>
      <c r="L33" s="63">
        <f>57/L19</f>
        <v>0.10196779964221825</v>
      </c>
      <c r="N33" s="11" t="s">
        <v>85</v>
      </c>
      <c r="O33" s="11" t="s">
        <v>85</v>
      </c>
      <c r="P33" s="63">
        <f>83/P19</f>
        <v>4.4456347080878415E-2</v>
      </c>
    </row>
    <row r="34" spans="1:16" x14ac:dyDescent="0.25">
      <c r="A34" t="s">
        <v>44</v>
      </c>
      <c r="B34" s="11" t="s">
        <v>85</v>
      </c>
      <c r="C34" s="11" t="s">
        <v>85</v>
      </c>
      <c r="D34" s="63">
        <f>8710/D19</f>
        <v>7.0486364004208144E-2</v>
      </c>
      <c r="F34" s="11" t="s">
        <v>85</v>
      </c>
      <c r="G34" s="11" t="s">
        <v>85</v>
      </c>
      <c r="H34" s="63">
        <f>341/H19</f>
        <v>3.6249601360688846E-2</v>
      </c>
      <c r="J34" s="11" t="s">
        <v>85</v>
      </c>
      <c r="K34" s="11" t="s">
        <v>85</v>
      </c>
      <c r="L34" s="63">
        <f>66/L19</f>
        <v>0.11806797853309481</v>
      </c>
      <c r="N34" s="11" t="s">
        <v>85</v>
      </c>
      <c r="O34" s="11" t="s">
        <v>85</v>
      </c>
      <c r="P34" s="63">
        <f>74/P19</f>
        <v>3.9635779325120517E-2</v>
      </c>
    </row>
    <row r="35" spans="1:16" x14ac:dyDescent="0.25">
      <c r="A35" t="s">
        <v>45</v>
      </c>
      <c r="B35" s="11" t="s">
        <v>85</v>
      </c>
      <c r="C35" s="11" t="s">
        <v>85</v>
      </c>
      <c r="D35" s="63">
        <f>20418/D19</f>
        <v>0.16523428016508862</v>
      </c>
      <c r="F35" s="11" t="s">
        <v>85</v>
      </c>
      <c r="G35" s="11" t="s">
        <v>85</v>
      </c>
      <c r="H35" s="63">
        <f>414/H19</f>
        <v>4.4009779951100246E-2</v>
      </c>
      <c r="J35" s="11" t="s">
        <v>85</v>
      </c>
      <c r="K35" s="11" t="s">
        <v>85</v>
      </c>
      <c r="L35" s="63">
        <f>86/L19</f>
        <v>0.15384615384615385</v>
      </c>
      <c r="N35" s="11" t="s">
        <v>85</v>
      </c>
      <c r="O35" s="11" t="s">
        <v>85</v>
      </c>
      <c r="P35" s="63">
        <f>299/P19</f>
        <v>0.16014997321906801</v>
      </c>
    </row>
    <row r="36" spans="1:16" x14ac:dyDescent="0.25">
      <c r="B36" s="11"/>
      <c r="C36" t="s">
        <v>235</v>
      </c>
      <c r="D36" s="66">
        <f>SUM(D26:D35)</f>
        <v>1</v>
      </c>
      <c r="G36" t="s">
        <v>235</v>
      </c>
      <c r="H36" s="66">
        <f>SUM(H26:H35)</f>
        <v>1</v>
      </c>
      <c r="K36" t="s">
        <v>235</v>
      </c>
      <c r="L36" s="66">
        <f>SUM(L26:L35)</f>
        <v>0.99999999999999989</v>
      </c>
      <c r="O36" t="s">
        <v>235</v>
      </c>
      <c r="P36" s="66">
        <f>SUM(P26:P35)</f>
        <v>0.99999999999999989</v>
      </c>
    </row>
    <row r="37" spans="1:16" x14ac:dyDescent="0.25">
      <c r="A37" s="1" t="s">
        <v>18</v>
      </c>
    </row>
    <row r="38" spans="1:16" x14ac:dyDescent="0.25">
      <c r="A38" t="s">
        <v>19</v>
      </c>
      <c r="B38" t="s">
        <v>87</v>
      </c>
      <c r="C38" s="13" t="s">
        <v>131</v>
      </c>
      <c r="D38" s="13" t="s">
        <v>132</v>
      </c>
      <c r="F38" t="s">
        <v>87</v>
      </c>
      <c r="G38" t="s">
        <v>88</v>
      </c>
      <c r="H38" s="13" t="s">
        <v>89</v>
      </c>
      <c r="J38" t="s">
        <v>87</v>
      </c>
      <c r="K38" t="s">
        <v>90</v>
      </c>
      <c r="L38" s="13" t="s">
        <v>91</v>
      </c>
      <c r="N38" t="s">
        <v>87</v>
      </c>
      <c r="O38" t="s">
        <v>92</v>
      </c>
      <c r="P38" s="13" t="s">
        <v>93</v>
      </c>
    </row>
    <row r="39" spans="1:16" x14ac:dyDescent="0.25">
      <c r="A39" t="s">
        <v>20</v>
      </c>
      <c r="B39" t="s">
        <v>94</v>
      </c>
      <c r="C39" t="s">
        <v>176</v>
      </c>
      <c r="D39" t="s">
        <v>177</v>
      </c>
      <c r="F39" t="s">
        <v>94</v>
      </c>
      <c r="G39" t="s">
        <v>178</v>
      </c>
      <c r="H39" t="s">
        <v>179</v>
      </c>
      <c r="J39" t="s">
        <v>94</v>
      </c>
      <c r="K39" t="s">
        <v>180</v>
      </c>
      <c r="L39" t="s">
        <v>181</v>
      </c>
      <c r="N39" t="s">
        <v>94</v>
      </c>
      <c r="O39" t="s">
        <v>182</v>
      </c>
      <c r="P39" t="s">
        <v>183</v>
      </c>
    </row>
    <row r="40" spans="1:16" x14ac:dyDescent="0.25">
      <c r="A40" t="s">
        <v>21</v>
      </c>
      <c r="B40" t="s">
        <v>94</v>
      </c>
      <c r="C40" t="s">
        <v>95</v>
      </c>
      <c r="D40" t="s">
        <v>96</v>
      </c>
      <c r="F40" t="s">
        <v>94</v>
      </c>
      <c r="G40" t="s">
        <v>97</v>
      </c>
      <c r="H40" t="s">
        <v>98</v>
      </c>
      <c r="J40" t="s">
        <v>94</v>
      </c>
      <c r="K40" t="s">
        <v>99</v>
      </c>
      <c r="L40" t="s">
        <v>100</v>
      </c>
      <c r="N40" t="s">
        <v>94</v>
      </c>
      <c r="O40" t="s">
        <v>101</v>
      </c>
      <c r="P40" t="s">
        <v>98</v>
      </c>
    </row>
    <row r="41" spans="1:16" x14ac:dyDescent="0.25">
      <c r="A41" t="s">
        <v>24</v>
      </c>
      <c r="B41">
        <v>33</v>
      </c>
      <c r="C41">
        <v>35.5</v>
      </c>
      <c r="D41">
        <v>38.9</v>
      </c>
      <c r="F41">
        <v>47.5</v>
      </c>
      <c r="G41">
        <v>56.3</v>
      </c>
      <c r="H41">
        <v>59</v>
      </c>
      <c r="J41">
        <v>11</v>
      </c>
      <c r="K41">
        <v>16.3</v>
      </c>
      <c r="L41">
        <v>18.100000000000001</v>
      </c>
      <c r="N41">
        <v>30.7</v>
      </c>
      <c r="O41">
        <v>41.7</v>
      </c>
      <c r="P41">
        <v>51.6</v>
      </c>
    </row>
    <row r="43" spans="1:16" x14ac:dyDescent="0.25">
      <c r="A43" s="1" t="s">
        <v>77</v>
      </c>
    </row>
    <row r="44" spans="1:16" x14ac:dyDescent="0.25">
      <c r="A44" s="10" t="s">
        <v>82</v>
      </c>
      <c r="B44" s="61">
        <v>221109</v>
      </c>
      <c r="C44" s="61">
        <v>228712</v>
      </c>
      <c r="D44" s="61">
        <v>239650</v>
      </c>
      <c r="F44" s="98">
        <v>8937</v>
      </c>
      <c r="G44" s="98">
        <v>16543</v>
      </c>
      <c r="H44" s="98">
        <v>16209</v>
      </c>
      <c r="I44" s="98"/>
      <c r="J44" s="98">
        <v>1075</v>
      </c>
      <c r="K44" s="98">
        <v>1119</v>
      </c>
      <c r="L44" s="98">
        <v>1022</v>
      </c>
      <c r="M44" s="98"/>
      <c r="N44" s="98">
        <v>2536</v>
      </c>
      <c r="O44" s="98">
        <v>2806</v>
      </c>
      <c r="P44" s="98">
        <v>3057</v>
      </c>
    </row>
    <row r="45" spans="1:16" x14ac:dyDescent="0.25">
      <c r="A45" t="s">
        <v>81</v>
      </c>
      <c r="B45" s="68">
        <v>151233</v>
      </c>
      <c r="C45" s="69">
        <v>147519</v>
      </c>
      <c r="D45" s="68">
        <v>153797</v>
      </c>
      <c r="F45" s="69">
        <v>6378</v>
      </c>
      <c r="G45" s="69">
        <v>11272</v>
      </c>
      <c r="H45" s="69">
        <v>10584</v>
      </c>
      <c r="I45" s="99"/>
      <c r="J45" s="69">
        <v>817</v>
      </c>
      <c r="K45" s="69">
        <v>727</v>
      </c>
      <c r="L45" s="69">
        <v>703</v>
      </c>
      <c r="M45" s="59"/>
      <c r="N45" s="69">
        <v>1734</v>
      </c>
      <c r="O45" s="69">
        <v>2154</v>
      </c>
      <c r="P45" s="69">
        <v>2160</v>
      </c>
    </row>
    <row r="46" spans="1:16" x14ac:dyDescent="0.25">
      <c r="A46" t="s">
        <v>22</v>
      </c>
      <c r="B46" s="68">
        <v>142675</v>
      </c>
      <c r="C46" s="69">
        <v>133958</v>
      </c>
      <c r="D46" s="68">
        <v>143566</v>
      </c>
      <c r="F46" s="69">
        <v>6213</v>
      </c>
      <c r="G46" s="69">
        <v>10626</v>
      </c>
      <c r="H46" s="69">
        <v>10236</v>
      </c>
      <c r="I46" s="99"/>
      <c r="J46" s="69">
        <v>784</v>
      </c>
      <c r="K46" s="69">
        <v>689</v>
      </c>
      <c r="L46" s="69">
        <v>655</v>
      </c>
      <c r="M46" s="59"/>
      <c r="N46" s="69">
        <v>1681</v>
      </c>
      <c r="O46" s="69">
        <v>2099</v>
      </c>
      <c r="P46" s="69">
        <v>2099</v>
      </c>
    </row>
    <row r="47" spans="1:16" x14ac:dyDescent="0.25">
      <c r="A47" s="10" t="s">
        <v>226</v>
      </c>
      <c r="B47" s="71">
        <f>B46/B45</f>
        <v>0.94341182149398606</v>
      </c>
      <c r="C47" s="71">
        <f t="shared" ref="C47:D47" si="0">C46/C45</f>
        <v>0.90807285841145891</v>
      </c>
      <c r="D47" s="71">
        <f t="shared" si="0"/>
        <v>0.93347724598009063</v>
      </c>
      <c r="F47" s="71">
        <f>F46/F45</f>
        <v>0.97412982126058323</v>
      </c>
      <c r="G47" s="71">
        <f t="shared" ref="G47:H47" si="1">G46/G45</f>
        <v>0.9426898509581263</v>
      </c>
      <c r="H47" s="71">
        <f t="shared" si="1"/>
        <v>0.96712018140589573</v>
      </c>
      <c r="J47" s="71">
        <f>J46/J45</f>
        <v>0.95960832313341493</v>
      </c>
      <c r="K47" s="71">
        <f t="shared" ref="K47:L47" si="2">K46/K45</f>
        <v>0.94773039889958732</v>
      </c>
      <c r="L47" s="71">
        <f t="shared" si="2"/>
        <v>0.93172119487908966</v>
      </c>
      <c r="N47" s="71">
        <f>N46/N45</f>
        <v>0.96943483275663211</v>
      </c>
      <c r="O47" s="71">
        <f t="shared" ref="O47:P47" si="3">O46/O45</f>
        <v>0.97446610956360258</v>
      </c>
      <c r="P47" s="71">
        <f t="shared" si="3"/>
        <v>0.97175925925925921</v>
      </c>
    </row>
    <row r="48" spans="1:16" x14ac:dyDescent="0.25">
      <c r="A48" s="10" t="s">
        <v>225</v>
      </c>
      <c r="B48" s="71">
        <f>B46/B44</f>
        <v>0.64526997996463287</v>
      </c>
      <c r="C48" s="71">
        <f t="shared" ref="C48:D48" si="4">C46/C44</f>
        <v>0.58570604078491728</v>
      </c>
      <c r="D48" s="71">
        <f t="shared" si="4"/>
        <v>0.59906530356770293</v>
      </c>
      <c r="F48" s="71">
        <f>F46/F44</f>
        <v>0.69519973145350789</v>
      </c>
      <c r="G48" s="71">
        <f t="shared" ref="G48:H48" si="5">G46/G44</f>
        <v>0.64232605936045462</v>
      </c>
      <c r="H48" s="71">
        <f t="shared" si="5"/>
        <v>0.63150101795298907</v>
      </c>
      <c r="J48" s="71">
        <f>J46/J44</f>
        <v>0.72930232558139529</v>
      </c>
      <c r="K48" s="71">
        <f t="shared" ref="K48:L48" si="6">K46/K44</f>
        <v>0.61572832886505813</v>
      </c>
      <c r="L48" s="71">
        <f t="shared" si="6"/>
        <v>0.64090019569471623</v>
      </c>
      <c r="N48" s="71">
        <f>N46/N44</f>
        <v>0.66285488958990535</v>
      </c>
      <c r="O48" s="71">
        <f t="shared" ref="O48:P48" si="7">O46/O44</f>
        <v>0.74803991446899498</v>
      </c>
      <c r="P48" s="71">
        <f t="shared" si="7"/>
        <v>0.68662087013411843</v>
      </c>
    </row>
    <row r="49" spans="1:16" x14ac:dyDescent="0.25">
      <c r="A49" t="s">
        <v>23</v>
      </c>
      <c r="B49" s="8" t="s">
        <v>173</v>
      </c>
      <c r="C49" s="9" t="s">
        <v>174</v>
      </c>
      <c r="D49" s="9" t="s">
        <v>175</v>
      </c>
      <c r="F49" s="8" t="s">
        <v>187</v>
      </c>
      <c r="G49" s="9" t="s">
        <v>188</v>
      </c>
      <c r="H49" s="9" t="s">
        <v>189</v>
      </c>
      <c r="I49" s="62"/>
      <c r="J49" s="8" t="s">
        <v>190</v>
      </c>
      <c r="K49" s="9" t="s">
        <v>191</v>
      </c>
      <c r="L49" s="9" t="s">
        <v>192</v>
      </c>
      <c r="N49" s="8" t="s">
        <v>193</v>
      </c>
      <c r="O49" s="9" t="s">
        <v>194</v>
      </c>
      <c r="P49" s="9" t="s">
        <v>195</v>
      </c>
    </row>
    <row r="50" spans="1:16" x14ac:dyDescent="0.25">
      <c r="A50" t="s">
        <v>47</v>
      </c>
      <c r="B50">
        <v>20.100000000000001</v>
      </c>
      <c r="C50">
        <v>20.100000000000001</v>
      </c>
      <c r="D50">
        <v>20.6</v>
      </c>
      <c r="F50">
        <v>21.4</v>
      </c>
      <c r="G50" s="12">
        <v>19.600000000000001</v>
      </c>
      <c r="H50">
        <v>21.1</v>
      </c>
      <c r="J50">
        <v>26.4</v>
      </c>
      <c r="K50" s="12">
        <v>26.8</v>
      </c>
      <c r="L50">
        <v>23.3</v>
      </c>
      <c r="N50">
        <v>24.1</v>
      </c>
      <c r="O50" s="58">
        <v>27.8</v>
      </c>
      <c r="P50">
        <v>31.2</v>
      </c>
    </row>
    <row r="51" spans="1:16" x14ac:dyDescent="0.25">
      <c r="A51" s="6" t="s">
        <v>227</v>
      </c>
      <c r="G51" s="12"/>
      <c r="K51" s="12"/>
      <c r="O51" s="58"/>
    </row>
    <row r="52" spans="1:16" x14ac:dyDescent="0.25">
      <c r="A52" t="s">
        <v>229</v>
      </c>
      <c r="B52" s="63" t="s">
        <v>94</v>
      </c>
      <c r="C52" s="63">
        <v>0.79100000000000004</v>
      </c>
      <c r="D52" s="63">
        <v>0.78700000000000003</v>
      </c>
      <c r="E52" s="72"/>
      <c r="F52" s="63" t="s">
        <v>94</v>
      </c>
      <c r="G52" s="63">
        <v>0.877</v>
      </c>
      <c r="H52" s="63">
        <v>0.85</v>
      </c>
      <c r="I52" s="72"/>
      <c r="J52" s="63" t="s">
        <v>94</v>
      </c>
      <c r="K52" s="63">
        <v>0.81499999999999995</v>
      </c>
      <c r="L52" s="63">
        <v>0.86670000000000003</v>
      </c>
      <c r="M52" s="72"/>
      <c r="N52" s="63" t="s">
        <v>94</v>
      </c>
      <c r="O52" s="63">
        <v>0.93600000000000005</v>
      </c>
      <c r="P52" s="63">
        <v>0.86</v>
      </c>
    </row>
    <row r="53" spans="1:16" x14ac:dyDescent="0.25">
      <c r="A53" t="s">
        <v>230</v>
      </c>
      <c r="B53" s="63" t="s">
        <v>94</v>
      </c>
      <c r="C53" s="63">
        <v>8.7999999999999995E-2</v>
      </c>
      <c r="D53" s="63">
        <v>0.10199999999999999</v>
      </c>
      <c r="E53" s="72"/>
      <c r="F53" s="63" t="s">
        <v>94</v>
      </c>
      <c r="G53" s="63">
        <v>7.2999999999999995E-2</v>
      </c>
      <c r="H53" s="63">
        <v>0.108</v>
      </c>
      <c r="I53" s="72"/>
      <c r="J53" s="63" t="s">
        <v>94</v>
      </c>
      <c r="K53" s="63">
        <v>0.13700000000000001</v>
      </c>
      <c r="L53" s="63">
        <v>0.11</v>
      </c>
      <c r="M53" s="72"/>
      <c r="N53" s="63" t="s">
        <v>94</v>
      </c>
      <c r="O53" s="63">
        <v>3.7999999999999999E-2</v>
      </c>
      <c r="P53" s="63">
        <v>0.12</v>
      </c>
    </row>
    <row r="54" spans="1:16" x14ac:dyDescent="0.25">
      <c r="A54" t="s">
        <v>231</v>
      </c>
      <c r="B54" s="63" t="s">
        <v>94</v>
      </c>
      <c r="C54" s="63">
        <v>3.5999999999999997E-2</v>
      </c>
      <c r="D54" s="63">
        <v>3.7999999999999999E-2</v>
      </c>
      <c r="E54" s="72"/>
      <c r="F54" s="63" t="s">
        <v>94</v>
      </c>
      <c r="G54" s="63">
        <v>2.5000000000000001E-2</v>
      </c>
      <c r="H54" s="63">
        <v>1.7999999999999999E-2</v>
      </c>
      <c r="I54" s="72"/>
      <c r="J54" s="63" t="s">
        <v>94</v>
      </c>
      <c r="K54" s="63">
        <v>2.5999999999999999E-2</v>
      </c>
      <c r="L54" s="63">
        <v>0</v>
      </c>
      <c r="M54" s="72"/>
      <c r="N54" s="63" t="s">
        <v>94</v>
      </c>
      <c r="O54" s="63">
        <v>4.0000000000000001E-3</v>
      </c>
      <c r="P54" s="63">
        <v>6.0000000000000001E-3</v>
      </c>
    </row>
    <row r="55" spans="1:16" x14ac:dyDescent="0.25">
      <c r="A55" t="s">
        <v>228</v>
      </c>
      <c r="B55" s="63" t="s">
        <v>94</v>
      </c>
      <c r="C55" s="63">
        <v>8.5999999999999993E-2</v>
      </c>
      <c r="D55" s="63">
        <v>7.2999999999999995E-2</v>
      </c>
      <c r="E55" s="72"/>
      <c r="F55" s="63" t="s">
        <v>94</v>
      </c>
      <c r="G55" s="63">
        <v>2.5000000000000001E-2</v>
      </c>
      <c r="H55" s="63">
        <v>2.4E-2</v>
      </c>
      <c r="I55" s="72"/>
      <c r="J55" s="63" t="s">
        <v>94</v>
      </c>
      <c r="K55" s="63">
        <v>2.1999999999999999E-2</v>
      </c>
      <c r="L55" s="63">
        <v>2.4E-2</v>
      </c>
      <c r="M55" s="72"/>
      <c r="N55" s="63" t="s">
        <v>94</v>
      </c>
      <c r="O55" s="63">
        <v>2.3E-2</v>
      </c>
      <c r="P55" s="63">
        <v>1.4999999999999999E-2</v>
      </c>
    </row>
    <row r="56" spans="1:16" x14ac:dyDescent="0.25">
      <c r="A56" t="s">
        <v>25</v>
      </c>
      <c r="B56" s="56">
        <v>51819</v>
      </c>
      <c r="C56" s="56">
        <v>59947</v>
      </c>
      <c r="D56" s="56">
        <v>72682</v>
      </c>
      <c r="F56" s="57">
        <v>62539</v>
      </c>
      <c r="G56" s="57">
        <v>74441</v>
      </c>
      <c r="H56" s="57">
        <v>102027</v>
      </c>
      <c r="I56" s="89"/>
      <c r="J56" s="57">
        <v>47136</v>
      </c>
      <c r="K56" s="57">
        <v>58185</v>
      </c>
      <c r="L56" s="57">
        <v>80145</v>
      </c>
      <c r="M56" s="89"/>
      <c r="N56" s="57">
        <v>51560</v>
      </c>
      <c r="O56" s="57">
        <v>70278</v>
      </c>
      <c r="P56" s="57">
        <v>96731</v>
      </c>
    </row>
    <row r="57" spans="1:16" x14ac:dyDescent="0.25">
      <c r="A57" t="s">
        <v>26</v>
      </c>
      <c r="B57" s="56">
        <v>65609</v>
      </c>
      <c r="C57" s="56">
        <v>75704</v>
      </c>
      <c r="D57" s="56">
        <v>93440</v>
      </c>
      <c r="F57" s="57">
        <v>82870</v>
      </c>
      <c r="G57" s="57">
        <v>99356</v>
      </c>
      <c r="H57" s="57">
        <v>138138</v>
      </c>
      <c r="I57" s="89"/>
      <c r="J57" s="57">
        <v>50850</v>
      </c>
      <c r="K57" s="57">
        <v>67150</v>
      </c>
      <c r="L57" s="57">
        <v>96538</v>
      </c>
      <c r="M57" s="89"/>
      <c r="N57" s="57">
        <v>60002</v>
      </c>
      <c r="O57" s="57">
        <v>85383</v>
      </c>
      <c r="P57" s="57">
        <v>118710</v>
      </c>
    </row>
    <row r="58" spans="1:16" x14ac:dyDescent="0.25">
      <c r="A58" t="s">
        <v>27</v>
      </c>
      <c r="B58" s="56">
        <v>21079</v>
      </c>
      <c r="C58" s="56">
        <v>22883</v>
      </c>
      <c r="D58" s="56">
        <v>29380</v>
      </c>
      <c r="F58" s="57">
        <v>28686</v>
      </c>
      <c r="G58" s="57">
        <v>34914</v>
      </c>
      <c r="H58" s="57">
        <v>47228</v>
      </c>
      <c r="I58" s="90"/>
      <c r="J58" s="57">
        <v>17663</v>
      </c>
      <c r="K58" s="57">
        <v>21683</v>
      </c>
      <c r="L58" s="57">
        <v>31420</v>
      </c>
      <c r="M58" s="90"/>
      <c r="N58" s="57">
        <v>22798</v>
      </c>
      <c r="O58" s="57">
        <v>30690</v>
      </c>
      <c r="P58" s="57">
        <v>41413</v>
      </c>
    </row>
    <row r="59" spans="1:16" x14ac:dyDescent="0.25">
      <c r="A59" t="s">
        <v>28</v>
      </c>
      <c r="B59">
        <v>8.3000000000000007</v>
      </c>
      <c r="C59">
        <v>12.5</v>
      </c>
      <c r="D59">
        <v>11</v>
      </c>
      <c r="F59">
        <v>4.8</v>
      </c>
      <c r="G59">
        <v>8.8000000000000007</v>
      </c>
      <c r="H59">
        <v>5</v>
      </c>
      <c r="I59" s="88"/>
      <c r="J59">
        <v>4.7</v>
      </c>
      <c r="K59">
        <v>0</v>
      </c>
      <c r="L59">
        <v>7.3</v>
      </c>
      <c r="M59" s="88"/>
      <c r="N59">
        <v>6.4</v>
      </c>
      <c r="O59">
        <v>11.9</v>
      </c>
      <c r="P59">
        <v>0</v>
      </c>
    </row>
    <row r="60" spans="1:16" x14ac:dyDescent="0.25">
      <c r="A60" t="s">
        <v>172</v>
      </c>
      <c r="B60">
        <v>15</v>
      </c>
      <c r="C60">
        <v>22.4</v>
      </c>
      <c r="D60">
        <v>22.1</v>
      </c>
      <c r="F60">
        <v>8</v>
      </c>
      <c r="G60">
        <v>11.6</v>
      </c>
      <c r="H60">
        <v>10.3</v>
      </c>
      <c r="I60" s="88"/>
      <c r="J60">
        <v>7.4</v>
      </c>
      <c r="K60">
        <v>0</v>
      </c>
      <c r="L60">
        <v>18.399999999999999</v>
      </c>
      <c r="M60" s="88"/>
      <c r="N60">
        <v>10.1</v>
      </c>
      <c r="O60">
        <v>13.2</v>
      </c>
      <c r="P60">
        <v>0</v>
      </c>
    </row>
    <row r="61" spans="1:16" x14ac:dyDescent="0.25">
      <c r="A61" s="6" t="s">
        <v>58</v>
      </c>
      <c r="B61" s="54">
        <v>142675</v>
      </c>
      <c r="C61" s="54">
        <v>133958</v>
      </c>
      <c r="D61" s="54">
        <v>143566</v>
      </c>
      <c r="F61" s="54">
        <v>6213</v>
      </c>
      <c r="G61" s="54">
        <v>10626</v>
      </c>
      <c r="H61" s="54">
        <v>10236</v>
      </c>
      <c r="I61" s="59"/>
      <c r="J61" s="54">
        <v>784</v>
      </c>
      <c r="K61" s="54">
        <v>689</v>
      </c>
      <c r="L61" s="54">
        <v>655</v>
      </c>
      <c r="M61" s="100"/>
      <c r="N61" s="54">
        <v>1681</v>
      </c>
      <c r="O61" s="54">
        <v>2099</v>
      </c>
      <c r="P61" s="54">
        <v>2099</v>
      </c>
    </row>
    <row r="62" spans="1:16" x14ac:dyDescent="0.25">
      <c r="A62" t="s">
        <v>48</v>
      </c>
      <c r="B62" s="63">
        <f>1060/B61</f>
        <v>7.4294725775363585E-3</v>
      </c>
      <c r="C62" s="63">
        <f>1317/C61</f>
        <v>9.8314397049821586E-3</v>
      </c>
      <c r="D62" s="63">
        <f>852/D61</f>
        <v>5.9345527492581807E-3</v>
      </c>
      <c r="F62" s="7">
        <f>23/F61</f>
        <v>3.7019153388057301E-3</v>
      </c>
      <c r="G62" s="7">
        <f>12/G61</f>
        <v>1.129305477131564E-3</v>
      </c>
      <c r="H62" s="7">
        <f>35/H61</f>
        <v>3.4193044157874168E-3</v>
      </c>
      <c r="I62" s="91"/>
      <c r="J62" s="7">
        <f>9/J61</f>
        <v>1.1479591836734694E-2</v>
      </c>
      <c r="K62" s="7">
        <f>12/K61</f>
        <v>1.741654571843251E-2</v>
      </c>
      <c r="L62" s="7">
        <f>7/L61</f>
        <v>1.0687022900763359E-2</v>
      </c>
      <c r="M62" s="91"/>
      <c r="N62" s="7">
        <f>5/N61</f>
        <v>2.9744199881023199E-3</v>
      </c>
      <c r="O62" s="7">
        <f>44/O61</f>
        <v>2.0962363030014291E-2</v>
      </c>
      <c r="P62" s="7">
        <f>0</f>
        <v>0</v>
      </c>
    </row>
    <row r="63" spans="1:16" x14ac:dyDescent="0.25">
      <c r="A63" t="s">
        <v>34</v>
      </c>
      <c r="B63" s="63">
        <f>7035/B61</f>
        <v>4.9307867531102154E-2</v>
      </c>
      <c r="C63" s="63">
        <f>4857/C61</f>
        <v>3.6257632989444455E-2</v>
      </c>
      <c r="D63" s="63">
        <f>5224/D61</f>
        <v>3.6387445495451566E-2</v>
      </c>
      <c r="F63" s="7">
        <f>221/F61</f>
        <v>3.5570577820698536E-2</v>
      </c>
      <c r="G63" s="7">
        <f>318/G61</f>
        <v>2.9926595143986448E-2</v>
      </c>
      <c r="H63" s="7">
        <f>299/H61</f>
        <v>2.9210629152012505E-2</v>
      </c>
      <c r="I63" s="91"/>
      <c r="J63" s="7">
        <f>72/J61</f>
        <v>9.1836734693877556E-2</v>
      </c>
      <c r="K63" s="7">
        <f>67/K61</f>
        <v>9.7242380261248179E-2</v>
      </c>
      <c r="L63" s="7">
        <f>42/L61</f>
        <v>6.4122137404580157E-2</v>
      </c>
      <c r="M63" s="91"/>
      <c r="N63" s="7">
        <f>102/N61</f>
        <v>6.0678167757287328E-2</v>
      </c>
      <c r="O63" s="7">
        <f>62/O61</f>
        <v>2.9537875178656504E-2</v>
      </c>
      <c r="P63" s="7">
        <f>58/P61</f>
        <v>2.7632205812291567E-2</v>
      </c>
    </row>
    <row r="64" spans="1:16" x14ac:dyDescent="0.25">
      <c r="A64" t="s">
        <v>49</v>
      </c>
      <c r="B64" s="63">
        <f>14787/B61</f>
        <v>0.10364114245663221</v>
      </c>
      <c r="C64" s="63">
        <f>11955/C61</f>
        <v>8.924439003269681E-2</v>
      </c>
      <c r="D64" s="63">
        <f>13592/D61</f>
        <v>9.4674226488165716E-2</v>
      </c>
      <c r="F64" s="7">
        <f>483/F61</f>
        <v>7.7740222114920335E-2</v>
      </c>
      <c r="G64" s="7">
        <f>605/G61</f>
        <v>5.6935817805383024E-2</v>
      </c>
      <c r="H64" s="7">
        <f>605/H61</f>
        <v>5.9105119187182496E-2</v>
      </c>
      <c r="I64" s="91"/>
      <c r="J64" s="7">
        <f>202/J61</f>
        <v>0.25765306122448978</v>
      </c>
      <c r="K64" s="7">
        <f>117/K61</f>
        <v>0.16981132075471697</v>
      </c>
      <c r="L64" s="7">
        <f>131/L61</f>
        <v>0.2</v>
      </c>
      <c r="M64" s="91"/>
      <c r="N64" s="7">
        <f>216/N61</f>
        <v>0.12849494348602022</v>
      </c>
      <c r="O64" s="7">
        <f>212/O61</f>
        <v>0.1010004764173416</v>
      </c>
      <c r="P64" s="7">
        <f>224/P61</f>
        <v>0.10671748451643639</v>
      </c>
    </row>
    <row r="65" spans="1:16" x14ac:dyDescent="0.25">
      <c r="A65" t="s">
        <v>50</v>
      </c>
      <c r="B65" s="63">
        <f>3856/B61</f>
        <v>2.7026458734886981E-2</v>
      </c>
      <c r="C65" s="63">
        <f>2599/C61</f>
        <v>1.9401603487660311E-2</v>
      </c>
      <c r="D65" s="63">
        <f>2675/D61</f>
        <v>1.8632545310170931E-2</v>
      </c>
      <c r="F65" s="7">
        <f>196/F61</f>
        <v>3.1546756800257522E-2</v>
      </c>
      <c r="G65" s="7">
        <f>164/G61</f>
        <v>1.5433841520798042E-2</v>
      </c>
      <c r="H65" s="7">
        <f>235/H61</f>
        <v>2.2958186791715515E-2</v>
      </c>
      <c r="I65" s="91"/>
      <c r="J65" s="7">
        <f>38/J61</f>
        <v>4.8469387755102039E-2</v>
      </c>
      <c r="K65" s="7">
        <f>0/K61</f>
        <v>0</v>
      </c>
      <c r="L65" s="7">
        <f>32/L61</f>
        <v>4.8854961832061068E-2</v>
      </c>
      <c r="M65" s="91"/>
      <c r="N65" s="7">
        <f>77/N61</f>
        <v>4.5806067816775729E-2</v>
      </c>
      <c r="O65" s="7">
        <f>63/O61</f>
        <v>3.0014292520247739E-2</v>
      </c>
      <c r="P65" s="7">
        <f>95/P61</f>
        <v>4.5259647451167222E-2</v>
      </c>
    </row>
    <row r="66" spans="1:16" x14ac:dyDescent="0.25">
      <c r="A66" t="s">
        <v>51</v>
      </c>
      <c r="B66" s="63">
        <f>15608/B61</f>
        <v>0.10939547923602594</v>
      </c>
      <c r="C66" s="63">
        <f>15035/C61</f>
        <v>0.11223667119544932</v>
      </c>
      <c r="D66" s="63">
        <f>14719/D61</f>
        <v>0.10252427454968446</v>
      </c>
      <c r="F66" s="7">
        <f>510/F61</f>
        <v>8.2085948816996615E-2</v>
      </c>
      <c r="G66" s="7">
        <f>1240/G61</f>
        <v>0.11669489930359496</v>
      </c>
      <c r="H66" s="7">
        <f>950/H61</f>
        <v>9.2809691285658455E-2</v>
      </c>
      <c r="I66" s="91"/>
      <c r="J66" s="7">
        <f>74/J61</f>
        <v>9.438775510204081E-2</v>
      </c>
      <c r="K66" s="7">
        <f>55/K61</f>
        <v>7.982583454281568E-2</v>
      </c>
      <c r="L66" s="7">
        <f>74/L61</f>
        <v>0.11297709923664122</v>
      </c>
      <c r="M66" s="91"/>
      <c r="N66" s="7">
        <f>239/N61</f>
        <v>0.14217727543129091</v>
      </c>
      <c r="O66" s="7">
        <f>310/O61</f>
        <v>0.14768937589328252</v>
      </c>
      <c r="P66" s="7">
        <f>216/P61</f>
        <v>0.10290614578370652</v>
      </c>
    </row>
    <row r="67" spans="1:16" x14ac:dyDescent="0.25">
      <c r="A67" t="s">
        <v>35</v>
      </c>
      <c r="B67" s="63">
        <f>4401/B61</f>
        <v>3.0846329069563694E-2</v>
      </c>
      <c r="C67" s="63">
        <f>4280/C61</f>
        <v>3.1950312784604126E-2</v>
      </c>
      <c r="D67" s="63">
        <f>5737/D61</f>
        <v>3.9960714932504908E-2</v>
      </c>
      <c r="F67" s="7">
        <f>105/F61</f>
        <v>1.6900048285852245E-2</v>
      </c>
      <c r="G67" s="7">
        <f>244/G61</f>
        <v>2.2962544701675136E-2</v>
      </c>
      <c r="H67" s="7">
        <f>298/H61</f>
        <v>2.9112934740132865E-2</v>
      </c>
      <c r="I67" s="91"/>
      <c r="J67" s="7">
        <f>26/J61</f>
        <v>3.3163265306122451E-2</v>
      </c>
      <c r="K67" s="7">
        <f>29/K61</f>
        <v>4.2089985486211901E-2</v>
      </c>
      <c r="L67" s="7">
        <f>19/L61</f>
        <v>2.9007633587786259E-2</v>
      </c>
      <c r="M67" s="91"/>
      <c r="N67" s="7">
        <f>59/N61</f>
        <v>3.5098155859607377E-2</v>
      </c>
      <c r="O67" s="7">
        <f>39/O61</f>
        <v>1.8580276322058123E-2</v>
      </c>
      <c r="P67" s="7">
        <f>37/P61</f>
        <v>1.7627441638875654E-2</v>
      </c>
    </row>
    <row r="68" spans="1:16" x14ac:dyDescent="0.25">
      <c r="A68" t="s">
        <v>52</v>
      </c>
      <c r="B68" s="63">
        <f>3918/B61</f>
        <v>2.7461012791308918E-2</v>
      </c>
      <c r="C68" s="63">
        <f>2823/C61</f>
        <v>2.107376939040595E-2</v>
      </c>
      <c r="D68" s="63">
        <f>2040/D61</f>
        <v>1.4209492498223814E-2</v>
      </c>
      <c r="F68" s="7">
        <f>211/F61</f>
        <v>3.3961049412522128E-2</v>
      </c>
      <c r="G68" s="7">
        <f>124/G61</f>
        <v>1.1669489930359496E-2</v>
      </c>
      <c r="H68" s="7">
        <f>173/H61</f>
        <v>1.6901133255177805E-2</v>
      </c>
      <c r="I68" s="91"/>
      <c r="J68" s="7">
        <f>19/J61</f>
        <v>2.423469387755102E-2</v>
      </c>
      <c r="K68" s="7">
        <f>6/K61</f>
        <v>8.708272859216255E-3</v>
      </c>
      <c r="L68" s="7">
        <f>14/L61</f>
        <v>2.1374045801526718E-2</v>
      </c>
      <c r="M68" s="91"/>
      <c r="N68" s="7">
        <f>28/N61</f>
        <v>1.6656751933372991E-2</v>
      </c>
      <c r="O68" s="7">
        <f>63/O61</f>
        <v>3.0014292520247739E-2</v>
      </c>
      <c r="P68" s="7">
        <f>17/P61</f>
        <v>8.0990948070509775E-3</v>
      </c>
    </row>
    <row r="69" spans="1:16" x14ac:dyDescent="0.25">
      <c r="A69" t="s">
        <v>53</v>
      </c>
      <c r="B69" s="63">
        <f>9196/B61</f>
        <v>6.4454179078324861E-2</v>
      </c>
      <c r="C69" s="63">
        <f>9026/C61</f>
        <v>6.737932784902731E-2</v>
      </c>
      <c r="D69" s="63">
        <f>10338/D61</f>
        <v>7.2008692865998911E-2</v>
      </c>
      <c r="F69" s="7">
        <f>520/F61</f>
        <v>8.3695477225173023E-2</v>
      </c>
      <c r="G69" s="7">
        <f>979/G61</f>
        <v>9.213250517598344E-2</v>
      </c>
      <c r="H69" s="7">
        <f>814/H61</f>
        <v>7.9523251270027351E-2</v>
      </c>
      <c r="I69" s="91"/>
      <c r="J69" s="7">
        <f>51/J61</f>
        <v>6.5051020408163268E-2</v>
      </c>
      <c r="K69" s="7">
        <f>108/K61</f>
        <v>0.15674891146589259</v>
      </c>
      <c r="L69" s="7">
        <f>46/L61</f>
        <v>7.0229007633587789E-2</v>
      </c>
      <c r="M69" s="91"/>
      <c r="N69" s="7">
        <f>122/N61</f>
        <v>7.2575847709696606E-2</v>
      </c>
      <c r="O69" s="7">
        <f>174/O61</f>
        <v>8.2896617436874709E-2</v>
      </c>
      <c r="P69" s="7">
        <f>249/P61</f>
        <v>0.11862791805621725</v>
      </c>
    </row>
    <row r="70" spans="1:16" x14ac:dyDescent="0.25">
      <c r="A70" t="s">
        <v>54</v>
      </c>
      <c r="B70" s="63">
        <f>11110/B61</f>
        <v>7.7869283336253717E-2</v>
      </c>
      <c r="C70" s="63">
        <f>12021/C61</f>
        <v>8.9737081771898652E-2</v>
      </c>
      <c r="D70" s="63">
        <f>13897/D61</f>
        <v>9.6798684925400169E-2</v>
      </c>
      <c r="F70" s="7">
        <f>502/F61</f>
        <v>8.0798326090455494E-2</v>
      </c>
      <c r="G70" s="7">
        <f>1150/G61</f>
        <v>0.10822510822510822</v>
      </c>
      <c r="H70" s="7">
        <f>1277/H61</f>
        <v>0.1247557639703009</v>
      </c>
      <c r="I70" s="91"/>
      <c r="J70" s="7">
        <f>58/J61</f>
        <v>7.3979591836734693E-2</v>
      </c>
      <c r="K70" s="7">
        <f>17/K61</f>
        <v>2.4673439767779391E-2</v>
      </c>
      <c r="L70" s="7">
        <f>28/L61</f>
        <v>4.2748091603053436E-2</v>
      </c>
      <c r="M70" s="91"/>
      <c r="N70" s="7">
        <f>123/N61</f>
        <v>7.3170731707317069E-2</v>
      </c>
      <c r="O70" s="7">
        <f>199/O61</f>
        <v>9.4807050976655552E-2</v>
      </c>
      <c r="P70" s="7">
        <f>192/P61</f>
        <v>9.1472129585516912E-2</v>
      </c>
    </row>
    <row r="71" spans="1:16" x14ac:dyDescent="0.25">
      <c r="A71" t="s">
        <v>55</v>
      </c>
      <c r="B71" s="63">
        <f>38984/B61</f>
        <v>0.27323637637988435</v>
      </c>
      <c r="C71" s="63">
        <f>39788/C61</f>
        <v>0.2970184684751937</v>
      </c>
      <c r="D71" s="63">
        <f>41550/D61</f>
        <v>0.28941392808882327</v>
      </c>
      <c r="F71" s="7">
        <f>2062/F61</f>
        <v>0.33188475776597459</v>
      </c>
      <c r="G71" s="7">
        <f>3485/G61</f>
        <v>0.3279691323169584</v>
      </c>
      <c r="H71" s="7">
        <f>3373/H61</f>
        <v>0.32952325127002735</v>
      </c>
      <c r="I71" s="91"/>
      <c r="J71" s="7">
        <f>104/J61</f>
        <v>0.1326530612244898</v>
      </c>
      <c r="K71" s="7">
        <f>174/K61</f>
        <v>0.2525399129172714</v>
      </c>
      <c r="L71" s="7">
        <f>100/L61</f>
        <v>0.15267175572519084</v>
      </c>
      <c r="M71" s="91"/>
      <c r="N71" s="7">
        <f>401/N61</f>
        <v>0.23854848304580606</v>
      </c>
      <c r="O71" s="7">
        <f>543/O61</f>
        <v>0.25869461648404002</v>
      </c>
      <c r="P71" s="7">
        <f>526/P61</f>
        <v>0.25059552167698906</v>
      </c>
    </row>
    <row r="72" spans="1:16" x14ac:dyDescent="0.25">
      <c r="A72" t="s">
        <v>56</v>
      </c>
      <c r="B72" s="63">
        <f>13367/B61</f>
        <v>9.3688452777291042E-2</v>
      </c>
      <c r="C72" s="63">
        <f>13473/C61</f>
        <v>0.10057630003433912</v>
      </c>
      <c r="D72" s="63">
        <f>15925/D61</f>
        <v>0.11092459217363443</v>
      </c>
      <c r="F72" s="7">
        <f>400/F61</f>
        <v>6.4381136327056179E-2</v>
      </c>
      <c r="G72" s="7">
        <f>983/G61</f>
        <v>9.2508940335027295E-2</v>
      </c>
      <c r="H72" s="7">
        <f>743/H61</f>
        <v>7.2586948026572881E-2</v>
      </c>
      <c r="I72" s="91"/>
      <c r="J72" s="7">
        <f>79/J61</f>
        <v>0.10076530612244898</v>
      </c>
      <c r="K72" s="7">
        <f>60/K61</f>
        <v>8.7082728592162553E-2</v>
      </c>
      <c r="L72" s="7">
        <f>89/L61</f>
        <v>0.13587786259541984</v>
      </c>
      <c r="M72" s="91"/>
      <c r="N72" s="7">
        <f>114/N61</f>
        <v>6.7816775728732903E-2</v>
      </c>
      <c r="O72" s="7">
        <f>102/O61</f>
        <v>4.8594568842305862E-2</v>
      </c>
      <c r="P72" s="7">
        <f>108/P61</f>
        <v>5.145307289185326E-2</v>
      </c>
    </row>
    <row r="73" spans="1:16" x14ac:dyDescent="0.25">
      <c r="A73" t="s">
        <v>8</v>
      </c>
      <c r="B73" s="63">
        <f>6930/B61</f>
        <v>4.8571929209742425E-2</v>
      </c>
      <c r="C73" s="63">
        <f>6612/C61</f>
        <v>4.9358754236402458E-2</v>
      </c>
      <c r="D73" s="63">
        <f>7023/D61</f>
        <v>4.8918267556385217E-2</v>
      </c>
      <c r="F73" s="7">
        <f>285/F61</f>
        <v>4.5871559633027525E-2</v>
      </c>
      <c r="G73" s="7">
        <f>506/G61</f>
        <v>4.7619047619047616E-2</v>
      </c>
      <c r="H73" s="7">
        <f>490/H61</f>
        <v>4.7870261821023836E-2</v>
      </c>
      <c r="I73" s="91"/>
      <c r="J73" s="7">
        <f>32/J61</f>
        <v>4.0816326530612242E-2</v>
      </c>
      <c r="K73" s="7">
        <f>18/K61</f>
        <v>2.6124818577648767E-2</v>
      </c>
      <c r="L73" s="7">
        <f>30/L61</f>
        <v>4.5801526717557252E-2</v>
      </c>
      <c r="M73" s="91"/>
      <c r="N73" s="7">
        <f>93/N61</f>
        <v>5.5324211778703156E-2</v>
      </c>
      <c r="O73" s="7">
        <f>105/O61</f>
        <v>5.0023820867079564E-2</v>
      </c>
      <c r="P73" s="7">
        <f>124/P61</f>
        <v>5.9075750357313009E-2</v>
      </c>
    </row>
    <row r="74" spans="1:16" x14ac:dyDescent="0.25">
      <c r="A74" t="s">
        <v>57</v>
      </c>
      <c r="B74" s="63">
        <f>12423/B61</f>
        <v>8.7072016821447343E-2</v>
      </c>
      <c r="C74" s="63">
        <f>10172/C61</f>
        <v>7.5934248047895614E-2</v>
      </c>
      <c r="D74" s="63">
        <f>9994/D61</f>
        <v>6.9612582366298428E-2</v>
      </c>
      <c r="F74" s="7">
        <f>695/F61</f>
        <v>0.1118622243682601</v>
      </c>
      <c r="G74" s="7">
        <f>816/G61</f>
        <v>7.6792772444946353E-2</v>
      </c>
      <c r="H74" s="7">
        <f>944/H61</f>
        <v>9.222352481438062E-2</v>
      </c>
      <c r="I74" s="91"/>
      <c r="J74" s="7">
        <f>20/J61</f>
        <v>2.5510204081632654E-2</v>
      </c>
      <c r="K74" s="7">
        <f>26/K61</f>
        <v>3.7735849056603772E-2</v>
      </c>
      <c r="L74" s="7">
        <f>43/L61</f>
        <v>6.5648854961832065E-2</v>
      </c>
      <c r="M74" s="91"/>
      <c r="N74" s="7">
        <f>102/N61</f>
        <v>6.0678167757287328E-2</v>
      </c>
      <c r="O74" s="7">
        <f>183/O61</f>
        <v>8.7184373511195803E-2</v>
      </c>
      <c r="P74" s="7">
        <f>253/P61</f>
        <v>0.12053358742258218</v>
      </c>
    </row>
    <row r="75" spans="1:16" x14ac:dyDescent="0.25">
      <c r="A75" s="6" t="s">
        <v>83</v>
      </c>
      <c r="B75" s="54">
        <v>142675</v>
      </c>
      <c r="C75" s="54">
        <v>133958</v>
      </c>
      <c r="D75" s="54">
        <v>143566</v>
      </c>
      <c r="E75" s="59"/>
      <c r="F75" s="54">
        <v>6213</v>
      </c>
      <c r="G75" s="54">
        <v>10626</v>
      </c>
      <c r="H75" s="54">
        <v>10236</v>
      </c>
      <c r="I75" s="59"/>
      <c r="J75" s="54">
        <v>784</v>
      </c>
      <c r="K75" s="54">
        <v>689</v>
      </c>
      <c r="L75" s="54">
        <v>655</v>
      </c>
      <c r="M75" s="59"/>
      <c r="N75" s="54">
        <v>1681</v>
      </c>
      <c r="O75" s="54">
        <v>2099</v>
      </c>
      <c r="P75" s="54">
        <v>2099</v>
      </c>
    </row>
    <row r="76" spans="1:16" x14ac:dyDescent="0.25">
      <c r="A76" t="s">
        <v>31</v>
      </c>
      <c r="B76" s="63">
        <f>52646/B75</f>
        <v>0.36899246539337655</v>
      </c>
      <c r="C76" s="63">
        <f>49949/C75</f>
        <v>0.37287060123322235</v>
      </c>
      <c r="D76" s="63">
        <f>58295/$D$75</f>
        <v>0.40605017901174373</v>
      </c>
      <c r="F76" s="63">
        <f>3198/F75</f>
        <v>0.51472718493481406</v>
      </c>
      <c r="G76" s="63">
        <f>5683/G75</f>
        <v>0.5348202522115566</v>
      </c>
      <c r="H76" s="63">
        <f>5916/H75</f>
        <v>0.57796014067995316</v>
      </c>
      <c r="I76" s="72"/>
      <c r="J76" s="63">
        <f>149/J75</f>
        <v>0.19005102040816327</v>
      </c>
      <c r="K76" s="63">
        <f>250/K75</f>
        <v>0.36284470246734396</v>
      </c>
      <c r="L76" s="63">
        <f>135/L75</f>
        <v>0.20610687022900764</v>
      </c>
      <c r="M76" s="72"/>
      <c r="N76" s="63">
        <f>588/N75</f>
        <v>0.34979179060083282</v>
      </c>
      <c r="O76" s="63">
        <f>1005/O75</f>
        <v>0.47879942829919009</v>
      </c>
      <c r="P76" s="63">
        <f>973/P75</f>
        <v>0.46355407336827059</v>
      </c>
    </row>
    <row r="77" spans="1:16" x14ac:dyDescent="0.25">
      <c r="A77" t="s">
        <v>32</v>
      </c>
      <c r="B77" s="63">
        <f>23502/B75</f>
        <v>0.16472402312949011</v>
      </c>
      <c r="C77" s="63">
        <f>25831/C75</f>
        <v>0.19282909568670778</v>
      </c>
      <c r="D77" s="63">
        <f>27723/D75</f>
        <v>0.19310282378836216</v>
      </c>
      <c r="F77" s="63">
        <f>840/F75</f>
        <v>0.13520038628681796</v>
      </c>
      <c r="G77" s="63">
        <f>1278/G75</f>
        <v>0.12027103331451157</v>
      </c>
      <c r="H77" s="63">
        <f>1314/H75</f>
        <v>0.1283704572098476</v>
      </c>
      <c r="I77" s="72"/>
      <c r="J77" s="63">
        <f>121/J75</f>
        <v>0.15433673469387754</v>
      </c>
      <c r="K77" s="63">
        <f>123/K75</f>
        <v>0.17851959361393324</v>
      </c>
      <c r="L77" s="63">
        <f>110/L75</f>
        <v>0.16793893129770993</v>
      </c>
      <c r="M77" s="72"/>
      <c r="N77" s="63">
        <f>153/N75</f>
        <v>9.1017251635930996E-2</v>
      </c>
      <c r="O77" s="63">
        <f>271/O75</f>
        <v>0.12910909957122441</v>
      </c>
      <c r="P77" s="63">
        <f>378/P75</f>
        <v>0.18008575512148642</v>
      </c>
    </row>
    <row r="78" spans="1:16" x14ac:dyDescent="0.25">
      <c r="A78" t="s">
        <v>33</v>
      </c>
      <c r="B78" s="63">
        <f>38677/B75</f>
        <v>0.27108463290695639</v>
      </c>
      <c r="C78" s="63">
        <f>31156/C75</f>
        <v>0.23258036100867435</v>
      </c>
      <c r="D78" s="63">
        <f>31266/D75</f>
        <v>0.21778136884777732</v>
      </c>
      <c r="F78" s="63">
        <f>1445/F75</f>
        <v>0.23257685498149042</v>
      </c>
      <c r="G78" s="63">
        <f>2637/G75</f>
        <v>0.24816487859966121</v>
      </c>
      <c r="H78" s="63">
        <f>1786/H75</f>
        <v>0.17448221961703791</v>
      </c>
      <c r="I78" s="72"/>
      <c r="J78" s="63">
        <f>219/J75</f>
        <v>0.27933673469387754</v>
      </c>
      <c r="K78" s="63">
        <f>111/K75</f>
        <v>0.16110304789550073</v>
      </c>
      <c r="L78" s="63">
        <f>191/L75</f>
        <v>0.2916030534351145</v>
      </c>
      <c r="M78" s="72"/>
      <c r="N78" s="63">
        <f>519/N75</f>
        <v>0.30874479476502081</v>
      </c>
      <c r="O78" s="63">
        <f>545/O75</f>
        <v>0.25964745116722249</v>
      </c>
      <c r="P78" s="63">
        <f>425/P75</f>
        <v>0.20247737017627443</v>
      </c>
    </row>
    <row r="79" spans="1:16" x14ac:dyDescent="0.25">
      <c r="A79" t="s">
        <v>34</v>
      </c>
      <c r="B79" s="63">
        <f>444/B75</f>
        <v>3.1119677588925879E-3</v>
      </c>
      <c r="C79" s="63">
        <f>6644/C75</f>
        <v>4.9597635079651828E-2</v>
      </c>
      <c r="D79" s="63">
        <f>7982/D75</f>
        <v>5.5598122118050236E-2</v>
      </c>
      <c r="F79" s="63">
        <f>6/F75</f>
        <v>9.6571704490584255E-4</v>
      </c>
      <c r="G79" s="63">
        <f>321/G75</f>
        <v>3.020892151326934E-2</v>
      </c>
      <c r="H79" s="63">
        <f>452/H75</f>
        <v>4.4157874169597502E-2</v>
      </c>
      <c r="I79" s="72"/>
      <c r="J79" s="63">
        <f>1/J75</f>
        <v>1.2755102040816326E-3</v>
      </c>
      <c r="K79" s="63">
        <f>66/K75</f>
        <v>9.579100145137881E-2</v>
      </c>
      <c r="L79" s="63">
        <f>76/L75</f>
        <v>0.11603053435114503</v>
      </c>
      <c r="M79" s="72"/>
      <c r="N79" s="63">
        <f>5/N75</f>
        <v>2.9744199881023199E-3</v>
      </c>
      <c r="O79" s="63">
        <f>120/O75</f>
        <v>5.7170080990948072E-2</v>
      </c>
      <c r="P79" s="63">
        <f>110/P75</f>
        <v>5.2405907575035729E-2</v>
      </c>
    </row>
    <row r="80" spans="1:16" x14ac:dyDescent="0.25">
      <c r="A80" t="s">
        <v>35</v>
      </c>
      <c r="B80" s="63">
        <f>(9999+17407)/B75</f>
        <v>0.1920869108112844</v>
      </c>
      <c r="C80" s="63">
        <f>14160/C75</f>
        <v>0.10570477313784918</v>
      </c>
      <c r="D80" s="63">
        <f>18300/D75</f>
        <v>0.12746750623406655</v>
      </c>
      <c r="F80" s="63">
        <f>(276+448)/F75</f>
        <v>0.11652985675197167</v>
      </c>
      <c r="G80" s="63">
        <f>707/G75</f>
        <v>6.6534914361001313E-2</v>
      </c>
      <c r="H80" s="63">
        <f>768/H75</f>
        <v>7.5029308323563887E-2</v>
      </c>
      <c r="I80" s="72"/>
      <c r="J80" s="63">
        <f>(102+192)/J75</f>
        <v>0.375</v>
      </c>
      <c r="K80" s="63">
        <f>139/K75</f>
        <v>0.20174165457184326</v>
      </c>
      <c r="L80" s="63">
        <f>143/L75</f>
        <v>0.21832061068702291</v>
      </c>
      <c r="M80" s="72"/>
      <c r="N80" s="63">
        <f>(168+248)/N75</f>
        <v>0.24747174301011302</v>
      </c>
      <c r="O80" s="63">
        <f>158/O75</f>
        <v>7.527393997141496E-2</v>
      </c>
      <c r="P80" s="63">
        <f>213/P75</f>
        <v>0.10147689375893283</v>
      </c>
    </row>
  </sheetData>
  <phoneticPr fontId="2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79821E-F0AC-4A26-8956-2B450FA21F0E}">
  <dimension ref="A1:R34"/>
  <sheetViews>
    <sheetView topLeftCell="A7" workbookViewId="0">
      <selection activeCell="N12" sqref="N12"/>
    </sheetView>
  </sheetViews>
  <sheetFormatPr defaultRowHeight="15" x14ac:dyDescent="0.25"/>
  <cols>
    <col min="2" max="2" width="13.7109375" bestFit="1" customWidth="1"/>
    <col min="3" max="3" width="18.5703125" bestFit="1" customWidth="1"/>
    <col min="4" max="4" width="13.7109375" bestFit="1" customWidth="1"/>
    <col min="5" max="5" width="8.5703125" bestFit="1" customWidth="1"/>
    <col min="6" max="7" width="12.5703125" bestFit="1" customWidth="1"/>
    <col min="8" max="8" width="8.5703125" customWidth="1"/>
    <col min="9" max="9" width="12" bestFit="1" customWidth="1"/>
    <col min="10" max="10" width="12" customWidth="1"/>
    <col min="11" max="11" width="11.5703125" bestFit="1" customWidth="1"/>
    <col min="12" max="12" width="12.42578125" bestFit="1" customWidth="1"/>
    <col min="14" max="16" width="11.5703125" bestFit="1" customWidth="1"/>
  </cols>
  <sheetData>
    <row r="1" spans="1:18" ht="60" x14ac:dyDescent="0.25">
      <c r="A1" s="2"/>
      <c r="B1" s="2" t="s">
        <v>59</v>
      </c>
      <c r="C1" s="2" t="s">
        <v>60</v>
      </c>
      <c r="D1" s="2" t="s">
        <v>61</v>
      </c>
      <c r="E1" s="4"/>
      <c r="F1" s="2" t="s">
        <v>196</v>
      </c>
      <c r="G1" s="2" t="s">
        <v>197</v>
      </c>
      <c r="H1" s="2" t="s">
        <v>198</v>
      </c>
      <c r="I1" s="4"/>
      <c r="J1" s="2" t="s">
        <v>199</v>
      </c>
      <c r="K1" s="2" t="s">
        <v>200</v>
      </c>
      <c r="L1" s="2" t="s">
        <v>201</v>
      </c>
      <c r="M1" s="4"/>
      <c r="N1" s="2" t="s">
        <v>202</v>
      </c>
      <c r="O1" s="2" t="s">
        <v>203</v>
      </c>
      <c r="P1" s="2" t="s">
        <v>204</v>
      </c>
      <c r="Q1" s="2"/>
      <c r="R1" s="2"/>
    </row>
    <row r="2" spans="1:18" x14ac:dyDescent="0.25">
      <c r="A2" t="s">
        <v>0</v>
      </c>
      <c r="B2" s="54">
        <v>279320</v>
      </c>
      <c r="C2" s="54">
        <v>280895</v>
      </c>
      <c r="D2" s="54">
        <v>290587</v>
      </c>
      <c r="E2" s="54"/>
      <c r="F2" s="54">
        <v>11283</v>
      </c>
      <c r="G2" s="54">
        <v>19220</v>
      </c>
      <c r="H2" s="54">
        <v>19565</v>
      </c>
      <c r="I2" s="54"/>
      <c r="J2" s="54">
        <v>1503</v>
      </c>
      <c r="K2" s="54">
        <v>1272</v>
      </c>
      <c r="L2" s="54">
        <v>1322</v>
      </c>
      <c r="M2" s="54"/>
      <c r="N2" s="54">
        <v>3441</v>
      </c>
      <c r="O2" s="54">
        <v>3854</v>
      </c>
      <c r="P2" s="54">
        <v>3959</v>
      </c>
    </row>
    <row r="3" spans="1:18" x14ac:dyDescent="0.25">
      <c r="A3" t="s">
        <v>211</v>
      </c>
      <c r="B3" s="96">
        <v>499.5</v>
      </c>
      <c r="C3" s="96">
        <v>505.1</v>
      </c>
      <c r="D3" s="96">
        <v>522.6</v>
      </c>
      <c r="E3" s="97"/>
      <c r="F3" s="96">
        <v>1354.8</v>
      </c>
      <c r="G3" s="96">
        <v>1250.5</v>
      </c>
      <c r="H3" s="96">
        <v>1271.0999999999999</v>
      </c>
      <c r="I3" s="97"/>
      <c r="J3" s="96">
        <v>1207</v>
      </c>
      <c r="K3" s="96">
        <v>694.2</v>
      </c>
      <c r="L3" s="96">
        <v>726.4</v>
      </c>
      <c r="M3" s="97"/>
      <c r="N3" s="96">
        <v>1351.2</v>
      </c>
      <c r="O3" s="96">
        <v>1582.5</v>
      </c>
      <c r="P3" s="96">
        <v>1613.6</v>
      </c>
    </row>
    <row r="5" spans="1:18" x14ac:dyDescent="0.25">
      <c r="A5" t="s">
        <v>212</v>
      </c>
    </row>
    <row r="6" spans="1:18" x14ac:dyDescent="0.25">
      <c r="B6" t="s">
        <v>213</v>
      </c>
      <c r="C6" t="s">
        <v>214</v>
      </c>
      <c r="D6" t="s">
        <v>215</v>
      </c>
      <c r="F6" t="s">
        <v>213</v>
      </c>
      <c r="G6" t="s">
        <v>214</v>
      </c>
      <c r="H6" t="s">
        <v>215</v>
      </c>
      <c r="J6" t="s">
        <v>213</v>
      </c>
      <c r="K6" t="s">
        <v>214</v>
      </c>
      <c r="L6" t="s">
        <v>215</v>
      </c>
      <c r="N6" t="s">
        <v>213</v>
      </c>
      <c r="O6" t="s">
        <v>214</v>
      </c>
      <c r="P6" t="s">
        <v>215</v>
      </c>
    </row>
    <row r="7" spans="1:18" x14ac:dyDescent="0.25">
      <c r="A7" t="s">
        <v>216</v>
      </c>
      <c r="B7">
        <f>(D2-B2)/B2</f>
        <v>4.0337247601317489E-2</v>
      </c>
      <c r="C7">
        <f>(C2-B2)/B2</f>
        <v>5.6386939710726053E-3</v>
      </c>
      <c r="D7">
        <f>(D2-C2)/C2</f>
        <v>3.4503996155146939E-2</v>
      </c>
      <c r="F7">
        <f>(H2-F2)/F2</f>
        <v>0.73402463883718871</v>
      </c>
      <c r="G7">
        <f>(G2-F2)/F2</f>
        <v>0.70344766462820174</v>
      </c>
      <c r="H7">
        <f>(H2-G2)/G2</f>
        <v>1.7950052029136316E-2</v>
      </c>
      <c r="J7">
        <f>(L2-J2)/J2</f>
        <v>-0.12042581503659348</v>
      </c>
      <c r="K7">
        <f>(K2-J2)/J2</f>
        <v>-0.15369261477045909</v>
      </c>
      <c r="L7">
        <f>(L2-K2)/K2</f>
        <v>3.9308176100628929E-2</v>
      </c>
      <c r="N7">
        <f>(P2-N2)/N2</f>
        <v>0.15053763440860216</v>
      </c>
      <c r="O7">
        <f>(O2-N2)/N2</f>
        <v>0.12002324905550713</v>
      </c>
      <c r="P7">
        <f>(P2-O2)/O2</f>
        <v>2.7244421380384017E-2</v>
      </c>
    </row>
    <row r="9" spans="1:18" x14ac:dyDescent="0.25">
      <c r="B9" t="s">
        <v>217</v>
      </c>
    </row>
    <row r="10" spans="1:18" x14ac:dyDescent="0.25">
      <c r="A10" t="s">
        <v>216</v>
      </c>
      <c r="B10" s="63">
        <v>4.0337247601317489E-2</v>
      </c>
    </row>
    <row r="11" spans="1:18" x14ac:dyDescent="0.25">
      <c r="A11" t="s">
        <v>72</v>
      </c>
      <c r="B11" s="63">
        <v>0.15053763440860216</v>
      </c>
    </row>
    <row r="12" spans="1:18" x14ac:dyDescent="0.25">
      <c r="A12" t="s">
        <v>73</v>
      </c>
      <c r="B12" s="63">
        <v>0.73402463883718871</v>
      </c>
    </row>
    <row r="13" spans="1:18" x14ac:dyDescent="0.25">
      <c r="A13" t="s">
        <v>74</v>
      </c>
      <c r="B13" s="63">
        <v>-0.12042581503659348</v>
      </c>
    </row>
    <row r="22" spans="1:12" x14ac:dyDescent="0.25">
      <c r="C22" s="64"/>
      <c r="D22" s="92">
        <v>2000</v>
      </c>
      <c r="E22" s="92"/>
      <c r="F22" s="92"/>
      <c r="G22" s="92">
        <v>2010</v>
      </c>
      <c r="H22" s="92"/>
      <c r="I22" s="92"/>
      <c r="J22" s="92">
        <v>2019</v>
      </c>
      <c r="K22" s="92"/>
      <c r="L22" s="92"/>
    </row>
    <row r="23" spans="1:12" x14ac:dyDescent="0.25">
      <c r="C23" s="64"/>
      <c r="D23" s="76" t="s">
        <v>72</v>
      </c>
      <c r="E23" s="79" t="s">
        <v>73</v>
      </c>
      <c r="F23" s="73" t="s">
        <v>74</v>
      </c>
      <c r="G23" s="76" t="s">
        <v>72</v>
      </c>
      <c r="H23" s="79" t="s">
        <v>73</v>
      </c>
      <c r="I23" s="73" t="s">
        <v>74</v>
      </c>
      <c r="J23" s="76" t="s">
        <v>72</v>
      </c>
      <c r="K23" s="79" t="s">
        <v>73</v>
      </c>
      <c r="L23" s="73" t="s">
        <v>74</v>
      </c>
    </row>
    <row r="24" spans="1:12" x14ac:dyDescent="0.25">
      <c r="C24" s="64" t="s">
        <v>0</v>
      </c>
      <c r="D24" s="77">
        <v>3441</v>
      </c>
      <c r="E24" s="80">
        <v>11283</v>
      </c>
      <c r="F24" s="74">
        <v>1503</v>
      </c>
      <c r="G24" s="77">
        <v>3854</v>
      </c>
      <c r="H24" s="80">
        <v>19220</v>
      </c>
      <c r="I24" s="74">
        <v>1272</v>
      </c>
      <c r="J24" s="77">
        <v>3959</v>
      </c>
      <c r="K24" s="80">
        <v>19565</v>
      </c>
      <c r="L24" s="74">
        <v>1322</v>
      </c>
    </row>
    <row r="25" spans="1:12" x14ac:dyDescent="0.25">
      <c r="C25" s="64" t="s">
        <v>218</v>
      </c>
      <c r="D25" s="78">
        <v>1351.2</v>
      </c>
      <c r="E25" s="81">
        <v>1354.8</v>
      </c>
      <c r="F25" s="75">
        <v>1207</v>
      </c>
      <c r="G25" s="78">
        <v>1582.5</v>
      </c>
      <c r="H25" s="81">
        <v>1250.5</v>
      </c>
      <c r="I25" s="75">
        <v>694.2</v>
      </c>
      <c r="J25" s="78">
        <v>1613.6</v>
      </c>
      <c r="K25" s="81">
        <v>1271.0999999999999</v>
      </c>
      <c r="L25" s="75">
        <v>726.4</v>
      </c>
    </row>
    <row r="27" spans="1:12" x14ac:dyDescent="0.25">
      <c r="A27" t="s">
        <v>219</v>
      </c>
    </row>
    <row r="28" spans="1:12" x14ac:dyDescent="0.25">
      <c r="A28" t="s">
        <v>4</v>
      </c>
      <c r="B28" s="65">
        <v>0.95529174033846931</v>
      </c>
    </row>
    <row r="29" spans="1:12" x14ac:dyDescent="0.25">
      <c r="A29" t="s">
        <v>5</v>
      </c>
      <c r="B29" s="65">
        <v>0</v>
      </c>
    </row>
    <row r="30" spans="1:12" x14ac:dyDescent="0.25">
      <c r="A30" t="s">
        <v>6</v>
      </c>
      <c r="B30" s="65">
        <v>0</v>
      </c>
    </row>
    <row r="31" spans="1:12" x14ac:dyDescent="0.25">
      <c r="A31" t="s">
        <v>7</v>
      </c>
      <c r="B31" s="65">
        <v>0</v>
      </c>
    </row>
    <row r="32" spans="1:12" x14ac:dyDescent="0.25">
      <c r="A32" t="s">
        <v>8</v>
      </c>
      <c r="B32" s="65">
        <v>4.0919424096994193E-2</v>
      </c>
    </row>
    <row r="33" spans="2:2" x14ac:dyDescent="0.25">
      <c r="B33" s="65"/>
    </row>
    <row r="34" spans="2:2" x14ac:dyDescent="0.25">
      <c r="B34" s="65"/>
    </row>
  </sheetData>
  <mergeCells count="3">
    <mergeCell ref="D22:F22"/>
    <mergeCell ref="G22:I22"/>
    <mergeCell ref="J22:L22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28A492-7568-4A34-8791-051FEE269B15}">
  <dimension ref="A1:X18"/>
  <sheetViews>
    <sheetView workbookViewId="0">
      <selection activeCell="N26" sqref="N26"/>
    </sheetView>
  </sheetViews>
  <sheetFormatPr defaultRowHeight="15" x14ac:dyDescent="0.25"/>
  <cols>
    <col min="1" max="1" width="19.28515625" bestFit="1" customWidth="1"/>
    <col min="2" max="2" width="18.28515625" bestFit="1" customWidth="1"/>
    <col min="3" max="4" width="12" bestFit="1" customWidth="1"/>
    <col min="5" max="5" width="12.5703125" bestFit="1" customWidth="1"/>
    <col min="6" max="6" width="11.7109375" bestFit="1" customWidth="1"/>
    <col min="7" max="7" width="10" bestFit="1" customWidth="1"/>
    <col min="8" max="8" width="12.5703125" bestFit="1" customWidth="1"/>
    <col min="9" max="9" width="11.7109375" bestFit="1" customWidth="1"/>
    <col min="10" max="10" width="9.140625" bestFit="1" customWidth="1"/>
    <col min="11" max="11" width="12" bestFit="1" customWidth="1"/>
    <col min="12" max="12" width="12.5703125" bestFit="1" customWidth="1"/>
    <col min="14" max="14" width="12.5703125" bestFit="1" customWidth="1"/>
    <col min="15" max="15" width="18.28515625" bestFit="1" customWidth="1"/>
    <col min="16" max="16" width="11.7109375" bestFit="1" customWidth="1"/>
    <col min="17" max="17" width="7.28515625" bestFit="1" customWidth="1"/>
    <col min="18" max="18" width="12" bestFit="1" customWidth="1"/>
    <col min="19" max="19" width="11.7109375" bestFit="1" customWidth="1"/>
    <col min="20" max="20" width="7.28515625" bestFit="1" customWidth="1"/>
    <col min="21" max="21" width="12" bestFit="1" customWidth="1"/>
    <col min="22" max="22" width="11.7109375" bestFit="1" customWidth="1"/>
    <col min="23" max="23" width="7.28515625" bestFit="1" customWidth="1"/>
    <col min="24" max="24" width="12" bestFit="1" customWidth="1"/>
    <col min="25" max="25" width="7.28515625" bestFit="1" customWidth="1"/>
    <col min="26" max="26" width="12" bestFit="1" customWidth="1"/>
    <col min="27" max="27" width="11.7109375" bestFit="1" customWidth="1"/>
    <col min="28" max="28" width="7.28515625" bestFit="1" customWidth="1"/>
    <col min="29" max="29" width="12" bestFit="1" customWidth="1"/>
  </cols>
  <sheetData>
    <row r="1" spans="1:24" ht="30" x14ac:dyDescent="0.25">
      <c r="A1" s="2"/>
      <c r="B1" s="2" t="s">
        <v>59</v>
      </c>
      <c r="C1" s="2" t="s">
        <v>60</v>
      </c>
      <c r="D1" s="2" t="s">
        <v>61</v>
      </c>
      <c r="E1" s="4"/>
      <c r="F1" s="2" t="s">
        <v>62</v>
      </c>
      <c r="G1" s="2" t="s">
        <v>63</v>
      </c>
      <c r="H1" s="2" t="s">
        <v>64</v>
      </c>
      <c r="I1" s="4"/>
      <c r="J1" s="2" t="s">
        <v>65</v>
      </c>
      <c r="K1" s="2" t="s">
        <v>66</v>
      </c>
      <c r="L1" s="2" t="s">
        <v>67</v>
      </c>
      <c r="M1" s="4"/>
      <c r="N1" s="2" t="s">
        <v>68</v>
      </c>
      <c r="O1" s="2" t="s">
        <v>69</v>
      </c>
      <c r="P1" s="2" t="s">
        <v>70</v>
      </c>
    </row>
    <row r="2" spans="1:24" x14ac:dyDescent="0.25">
      <c r="A2" s="1" t="s">
        <v>11</v>
      </c>
      <c r="E2" s="5"/>
      <c r="I2" s="5"/>
      <c r="M2" s="5"/>
    </row>
    <row r="3" spans="1:24" x14ac:dyDescent="0.25">
      <c r="A3" s="3" t="s">
        <v>14</v>
      </c>
      <c r="B3" s="54">
        <v>115056</v>
      </c>
      <c r="C3" s="54">
        <v>121281</v>
      </c>
      <c r="D3" s="55">
        <v>123570</v>
      </c>
      <c r="E3" s="5"/>
      <c r="F3" s="54">
        <v>5355</v>
      </c>
      <c r="G3" s="54">
        <v>9557</v>
      </c>
      <c r="H3" s="54">
        <v>9407</v>
      </c>
      <c r="I3" s="5"/>
      <c r="J3" s="54">
        <v>612</v>
      </c>
      <c r="K3" s="54">
        <v>573</v>
      </c>
      <c r="L3" s="54">
        <v>559</v>
      </c>
      <c r="M3" s="5"/>
      <c r="N3" s="54">
        <v>1528</v>
      </c>
      <c r="O3" s="54">
        <v>1789</v>
      </c>
      <c r="P3" s="54">
        <v>1867</v>
      </c>
    </row>
    <row r="4" spans="1:24" x14ac:dyDescent="0.25">
      <c r="A4" t="s">
        <v>12</v>
      </c>
      <c r="B4" s="57">
        <v>97700</v>
      </c>
      <c r="C4" s="57">
        <v>137900</v>
      </c>
      <c r="D4" s="57">
        <v>135600</v>
      </c>
      <c r="E4" s="5"/>
      <c r="F4" s="57">
        <v>141700</v>
      </c>
      <c r="G4" s="57">
        <v>194800</v>
      </c>
      <c r="H4" s="57">
        <v>198400</v>
      </c>
      <c r="I4" s="5"/>
      <c r="J4" s="57">
        <v>95800</v>
      </c>
      <c r="K4" s="57">
        <v>119300</v>
      </c>
      <c r="L4" s="57">
        <v>112200</v>
      </c>
      <c r="M4" s="5"/>
      <c r="N4" s="57">
        <v>109900</v>
      </c>
      <c r="O4" s="57">
        <v>150500</v>
      </c>
      <c r="P4" s="57">
        <v>161900</v>
      </c>
    </row>
    <row r="5" spans="1:24" x14ac:dyDescent="0.25">
      <c r="A5" t="s">
        <v>13</v>
      </c>
      <c r="B5" s="57">
        <v>542</v>
      </c>
      <c r="C5" s="57">
        <v>726</v>
      </c>
      <c r="D5" s="57">
        <v>877</v>
      </c>
      <c r="E5" s="5"/>
      <c r="F5" s="57">
        <v>586</v>
      </c>
      <c r="G5" s="57">
        <v>776</v>
      </c>
      <c r="H5" s="57">
        <v>871</v>
      </c>
      <c r="I5" s="5"/>
      <c r="J5" s="57">
        <v>588</v>
      </c>
      <c r="K5" s="57">
        <v>884</v>
      </c>
      <c r="L5" s="57">
        <v>727</v>
      </c>
      <c r="M5" s="5"/>
      <c r="N5" s="57">
        <v>510</v>
      </c>
      <c r="O5" s="57">
        <v>546</v>
      </c>
      <c r="P5" s="57">
        <v>803</v>
      </c>
    </row>
    <row r="6" spans="1:24" x14ac:dyDescent="0.25">
      <c r="A6" t="s">
        <v>15</v>
      </c>
      <c r="B6" s="54">
        <v>108593</v>
      </c>
      <c r="C6" s="54">
        <v>111162</v>
      </c>
      <c r="D6" s="54">
        <v>112840</v>
      </c>
      <c r="E6" s="5"/>
      <c r="F6" s="54">
        <v>5132</v>
      </c>
      <c r="G6" s="54">
        <v>8918</v>
      </c>
      <c r="H6" s="54">
        <v>8910</v>
      </c>
      <c r="I6" s="5"/>
      <c r="J6" s="54">
        <v>561</v>
      </c>
      <c r="K6" s="54">
        <v>508</v>
      </c>
      <c r="L6" s="54">
        <v>506</v>
      </c>
      <c r="M6" s="5"/>
      <c r="N6" s="54">
        <v>1470</v>
      </c>
      <c r="O6" s="54">
        <v>1605</v>
      </c>
      <c r="P6" s="54">
        <v>1685</v>
      </c>
    </row>
    <row r="7" spans="1:24" x14ac:dyDescent="0.25">
      <c r="A7" t="s">
        <v>16</v>
      </c>
      <c r="B7" s="54">
        <f>B3-B6</f>
        <v>6463</v>
      </c>
      <c r="C7" s="54">
        <v>10119</v>
      </c>
      <c r="D7" s="54">
        <v>10730</v>
      </c>
      <c r="E7" s="5"/>
      <c r="F7" s="54">
        <f>F3-F6</f>
        <v>223</v>
      </c>
      <c r="G7" s="54">
        <v>639</v>
      </c>
      <c r="H7" s="54">
        <v>497</v>
      </c>
      <c r="I7" s="5"/>
      <c r="J7" s="54">
        <f>J3-J6</f>
        <v>51</v>
      </c>
      <c r="K7" s="54">
        <v>65</v>
      </c>
      <c r="L7" s="54">
        <v>53</v>
      </c>
      <c r="M7" s="5"/>
      <c r="N7" s="54">
        <f>N3-N6</f>
        <v>58</v>
      </c>
      <c r="O7" s="54">
        <v>184</v>
      </c>
      <c r="P7" s="54">
        <v>182</v>
      </c>
    </row>
    <row r="8" spans="1:24" x14ac:dyDescent="0.25">
      <c r="A8" t="s">
        <v>17</v>
      </c>
      <c r="B8">
        <v>5.6</v>
      </c>
      <c r="C8">
        <v>8.3000000000000007</v>
      </c>
      <c r="D8">
        <v>8.6999999999999993</v>
      </c>
      <c r="E8" s="5"/>
      <c r="F8">
        <v>4.2</v>
      </c>
      <c r="G8">
        <v>6.7</v>
      </c>
      <c r="H8">
        <v>5.3</v>
      </c>
      <c r="I8" s="5"/>
      <c r="J8">
        <v>8.3000000000000007</v>
      </c>
      <c r="K8">
        <v>11.3</v>
      </c>
      <c r="L8">
        <v>9.5</v>
      </c>
      <c r="M8" s="5"/>
      <c r="N8">
        <v>3.8</v>
      </c>
      <c r="O8">
        <v>10.3</v>
      </c>
      <c r="P8">
        <v>9.8000000000000007</v>
      </c>
    </row>
    <row r="10" spans="1:24" x14ac:dyDescent="0.25">
      <c r="A10" t="s">
        <v>75</v>
      </c>
      <c r="B10" t="s">
        <v>72</v>
      </c>
      <c r="C10" t="s">
        <v>73</v>
      </c>
      <c r="D10" t="s">
        <v>74</v>
      </c>
      <c r="E10" t="s">
        <v>71</v>
      </c>
    </row>
    <row r="11" spans="1:24" x14ac:dyDescent="0.25">
      <c r="A11">
        <v>2000</v>
      </c>
      <c r="B11" s="57">
        <v>109900</v>
      </c>
      <c r="C11" s="57">
        <v>141700</v>
      </c>
      <c r="D11" s="57">
        <v>95800</v>
      </c>
      <c r="E11" s="57">
        <v>97700</v>
      </c>
    </row>
    <row r="12" spans="1:24" x14ac:dyDescent="0.25">
      <c r="A12">
        <v>2010</v>
      </c>
      <c r="B12" s="57">
        <v>150500</v>
      </c>
      <c r="C12" s="57">
        <v>194800</v>
      </c>
      <c r="D12" s="57">
        <v>119300</v>
      </c>
      <c r="E12" s="57">
        <v>137900</v>
      </c>
      <c r="O12" s="64"/>
      <c r="P12" s="93">
        <v>2000</v>
      </c>
      <c r="Q12" s="94"/>
      <c r="R12" s="95"/>
      <c r="S12" s="93">
        <v>2010</v>
      </c>
      <c r="T12" s="94"/>
      <c r="U12" s="95"/>
      <c r="V12" s="93">
        <v>2019</v>
      </c>
      <c r="W12" s="94"/>
      <c r="X12" s="95"/>
    </row>
    <row r="13" spans="1:24" x14ac:dyDescent="0.25">
      <c r="A13">
        <v>2019</v>
      </c>
      <c r="B13" s="57">
        <v>161900</v>
      </c>
      <c r="C13" s="57">
        <v>198400</v>
      </c>
      <c r="D13" s="57">
        <v>112200</v>
      </c>
      <c r="E13" s="57">
        <v>135600</v>
      </c>
      <c r="O13" s="64"/>
      <c r="P13" s="76" t="s">
        <v>72</v>
      </c>
      <c r="Q13" s="79" t="s">
        <v>73</v>
      </c>
      <c r="R13" s="73" t="s">
        <v>74</v>
      </c>
      <c r="S13" s="76" t="s">
        <v>72</v>
      </c>
      <c r="T13" s="79" t="s">
        <v>73</v>
      </c>
      <c r="U13" s="73" t="s">
        <v>74</v>
      </c>
      <c r="V13" s="76" t="s">
        <v>72</v>
      </c>
      <c r="W13" s="79" t="s">
        <v>73</v>
      </c>
      <c r="X13" s="73" t="s">
        <v>74</v>
      </c>
    </row>
    <row r="14" spans="1:24" x14ac:dyDescent="0.25">
      <c r="O14" s="64" t="s">
        <v>14</v>
      </c>
      <c r="P14" s="77">
        <v>1528</v>
      </c>
      <c r="Q14" s="80">
        <v>5355</v>
      </c>
      <c r="R14" s="74">
        <v>612</v>
      </c>
      <c r="S14" s="77">
        <v>1789</v>
      </c>
      <c r="T14" s="80">
        <v>9557</v>
      </c>
      <c r="U14" s="74">
        <v>573</v>
      </c>
      <c r="V14" s="77">
        <v>1867</v>
      </c>
      <c r="W14" s="80">
        <v>9407</v>
      </c>
      <c r="X14" s="74">
        <v>559</v>
      </c>
    </row>
    <row r="15" spans="1:24" x14ac:dyDescent="0.25">
      <c r="A15" t="s">
        <v>75</v>
      </c>
      <c r="B15" t="s">
        <v>72</v>
      </c>
      <c r="C15" t="s">
        <v>73</v>
      </c>
      <c r="D15" t="s">
        <v>74</v>
      </c>
      <c r="O15" s="64" t="s">
        <v>15</v>
      </c>
      <c r="P15" s="77">
        <v>1470</v>
      </c>
      <c r="Q15" s="80">
        <v>5132</v>
      </c>
      <c r="R15" s="74">
        <v>561</v>
      </c>
      <c r="S15" s="77">
        <v>1605</v>
      </c>
      <c r="T15" s="80">
        <v>8918</v>
      </c>
      <c r="U15" s="74">
        <v>508</v>
      </c>
      <c r="V15" s="77">
        <v>1685</v>
      </c>
      <c r="W15" s="80">
        <v>8910</v>
      </c>
      <c r="X15" s="74">
        <v>506</v>
      </c>
    </row>
    <row r="16" spans="1:24" x14ac:dyDescent="0.25">
      <c r="A16">
        <v>2000</v>
      </c>
      <c r="B16" s="7">
        <v>3.7958115183246072E-2</v>
      </c>
      <c r="C16" s="7">
        <v>4.1643323996265171E-2</v>
      </c>
      <c r="D16" s="7">
        <v>8.3333333333333329E-2</v>
      </c>
      <c r="O16" s="64" t="s">
        <v>16</v>
      </c>
      <c r="P16" s="77">
        <v>58</v>
      </c>
      <c r="Q16" s="80">
        <v>223</v>
      </c>
      <c r="R16" s="74">
        <v>51</v>
      </c>
      <c r="S16" s="77">
        <v>184</v>
      </c>
      <c r="T16" s="80">
        <v>639</v>
      </c>
      <c r="U16" s="74">
        <v>65</v>
      </c>
      <c r="V16" s="77">
        <v>182</v>
      </c>
      <c r="W16" s="80">
        <v>497</v>
      </c>
      <c r="X16" s="74">
        <v>53</v>
      </c>
    </row>
    <row r="17" spans="1:15" x14ac:dyDescent="0.25">
      <c r="A17">
        <v>2010</v>
      </c>
      <c r="B17" s="7">
        <v>0.10285075461151481</v>
      </c>
      <c r="C17" s="7">
        <v>6.6861985978863656E-2</v>
      </c>
      <c r="D17" s="7">
        <v>0.11343804537521815</v>
      </c>
      <c r="O17" s="57"/>
    </row>
    <row r="18" spans="1:15" x14ac:dyDescent="0.25">
      <c r="A18">
        <v>2019</v>
      </c>
      <c r="B18" s="7">
        <v>9.748259239421532E-2</v>
      </c>
      <c r="C18" s="7">
        <v>5.2832996704581692E-2</v>
      </c>
      <c r="D18" s="7">
        <v>9.4812164579606437E-2</v>
      </c>
    </row>
  </sheetData>
  <mergeCells count="3">
    <mergeCell ref="P12:R12"/>
    <mergeCell ref="S12:U12"/>
    <mergeCell ref="V12:X1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FE4397-1A2D-44D1-BDC6-38874D1D2F54}">
  <dimension ref="A1:BW874"/>
  <sheetViews>
    <sheetView topLeftCell="K1" workbookViewId="0">
      <selection activeCell="S26" sqref="S26"/>
    </sheetView>
  </sheetViews>
  <sheetFormatPr defaultRowHeight="15" x14ac:dyDescent="0.25"/>
  <cols>
    <col min="1" max="1" width="48.42578125" customWidth="1"/>
    <col min="2" max="2" width="10.85546875" customWidth="1"/>
    <col min="4" max="4" width="10" bestFit="1" customWidth="1"/>
    <col min="7" max="7" width="10" bestFit="1" customWidth="1"/>
    <col min="11" max="11" width="60.28515625" bestFit="1" customWidth="1"/>
    <col min="12" max="12" width="7.140625" bestFit="1" customWidth="1"/>
    <col min="16" max="16" width="11.7109375" bestFit="1" customWidth="1"/>
    <col min="17" max="17" width="7.28515625" bestFit="1" customWidth="1"/>
    <col min="18" max="18" width="12" bestFit="1" customWidth="1"/>
  </cols>
  <sheetData>
    <row r="1" spans="1:18" x14ac:dyDescent="0.25">
      <c r="A1" t="s">
        <v>102</v>
      </c>
    </row>
    <row r="2" spans="1:18" x14ac:dyDescent="0.25">
      <c r="A2" t="s">
        <v>19</v>
      </c>
      <c r="K2" t="s">
        <v>234</v>
      </c>
    </row>
    <row r="3" spans="1:18" x14ac:dyDescent="0.25">
      <c r="M3" s="7"/>
    </row>
    <row r="4" spans="1:18" x14ac:dyDescent="0.25">
      <c r="A4" t="s">
        <v>103</v>
      </c>
      <c r="B4" t="s">
        <v>127</v>
      </c>
      <c r="C4" t="s">
        <v>104</v>
      </c>
      <c r="F4" t="s">
        <v>105</v>
      </c>
      <c r="H4" t="s">
        <v>19</v>
      </c>
      <c r="K4" t="s">
        <v>106</v>
      </c>
      <c r="L4" s="7">
        <v>8.3599999999999994E-2</v>
      </c>
      <c r="O4" t="s">
        <v>72</v>
      </c>
      <c r="P4" t="s">
        <v>73</v>
      </c>
      <c r="Q4" t="s">
        <v>74</v>
      </c>
      <c r="R4" t="s">
        <v>71</v>
      </c>
    </row>
    <row r="5" spans="1:18" ht="15.75" thickBot="1" x14ac:dyDescent="0.3">
      <c r="A5" s="14" t="s">
        <v>106</v>
      </c>
      <c r="B5" s="15">
        <v>120950</v>
      </c>
      <c r="C5" s="15">
        <v>98470</v>
      </c>
      <c r="D5" s="15">
        <v>1265</v>
      </c>
      <c r="E5" s="15">
        <v>11100</v>
      </c>
      <c r="F5" s="15">
        <v>10115</v>
      </c>
      <c r="G5" s="16">
        <v>0.81410000000000005</v>
      </c>
      <c r="H5" s="16">
        <v>8.3599999999999994E-2</v>
      </c>
      <c r="I5">
        <f>F5/B5</f>
        <v>8.362959900785448E-2</v>
      </c>
      <c r="K5" t="s">
        <v>71</v>
      </c>
      <c r="L5" s="7">
        <v>9.8904267589388695E-2</v>
      </c>
      <c r="N5">
        <v>2000</v>
      </c>
      <c r="O5" s="66">
        <v>0.307</v>
      </c>
      <c r="P5" s="66">
        <v>0.47499999999999998</v>
      </c>
      <c r="Q5" s="13">
        <v>0.11</v>
      </c>
      <c r="R5" s="66">
        <v>0.33</v>
      </c>
    </row>
    <row r="6" spans="1:18" ht="15.75" thickBot="1" x14ac:dyDescent="0.3">
      <c r="A6" s="17" t="s">
        <v>107</v>
      </c>
      <c r="B6" s="17">
        <v>62</v>
      </c>
      <c r="C6" s="17">
        <v>52</v>
      </c>
      <c r="D6" s="17" t="s">
        <v>108</v>
      </c>
      <c r="E6" s="17" t="s">
        <v>108</v>
      </c>
      <c r="F6" s="17" t="s">
        <v>108</v>
      </c>
      <c r="G6" s="18">
        <v>0.8387</v>
      </c>
      <c r="H6" s="18">
        <v>4.8399999999999999E-2</v>
      </c>
      <c r="K6" t="s">
        <v>162</v>
      </c>
      <c r="L6" s="7">
        <v>0.30509999999999998</v>
      </c>
      <c r="N6">
        <v>2010</v>
      </c>
      <c r="O6" s="66">
        <v>0.41699999999999998</v>
      </c>
      <c r="P6" s="66">
        <v>0.56299999999999994</v>
      </c>
      <c r="Q6" s="66">
        <v>0.16300000000000001</v>
      </c>
      <c r="R6" s="66">
        <v>0.35499999999999998</v>
      </c>
    </row>
    <row r="7" spans="1:18" ht="15.75" thickBot="1" x14ac:dyDescent="0.3">
      <c r="A7" s="19" t="s">
        <v>109</v>
      </c>
      <c r="B7" s="19">
        <v>253</v>
      </c>
      <c r="C7" s="19">
        <v>225</v>
      </c>
      <c r="D7" s="19" t="s">
        <v>108</v>
      </c>
      <c r="E7" s="19">
        <v>19</v>
      </c>
      <c r="F7" s="19" t="s">
        <v>108</v>
      </c>
      <c r="G7" s="20">
        <v>0.88929999999999998</v>
      </c>
      <c r="H7" s="20">
        <v>3.1600000000000003E-2</v>
      </c>
      <c r="K7" t="s">
        <v>163</v>
      </c>
      <c r="L7" s="7">
        <v>0.26129999999999998</v>
      </c>
      <c r="N7">
        <v>2019</v>
      </c>
      <c r="O7" s="66">
        <v>0.51600000000000001</v>
      </c>
      <c r="P7" s="66">
        <v>0.59</v>
      </c>
      <c r="Q7" s="66">
        <v>0.18099999999999999</v>
      </c>
      <c r="R7" s="66">
        <v>0.38900000000000001</v>
      </c>
    </row>
    <row r="8" spans="1:18" ht="15.75" thickBot="1" x14ac:dyDescent="0.3">
      <c r="A8" s="17" t="s">
        <v>110</v>
      </c>
      <c r="B8" s="17">
        <v>235</v>
      </c>
      <c r="C8" s="17">
        <v>224</v>
      </c>
      <c r="D8" s="17" t="s">
        <v>108</v>
      </c>
      <c r="E8" s="17" t="s">
        <v>108</v>
      </c>
      <c r="F8" s="17" t="s">
        <v>108</v>
      </c>
      <c r="G8" s="18">
        <v>0.95320000000000005</v>
      </c>
      <c r="H8" s="30">
        <v>2.5499999999999998E-2</v>
      </c>
      <c r="K8" t="s">
        <v>164</v>
      </c>
      <c r="L8" s="7">
        <v>0.23910000000000001</v>
      </c>
    </row>
    <row r="9" spans="1:18" ht="15.75" thickBot="1" x14ac:dyDescent="0.3">
      <c r="A9" s="19" t="s">
        <v>111</v>
      </c>
      <c r="B9" s="19">
        <v>401</v>
      </c>
      <c r="C9" s="19">
        <v>343</v>
      </c>
      <c r="D9" s="19" t="s">
        <v>108</v>
      </c>
      <c r="E9" s="19">
        <v>26</v>
      </c>
      <c r="F9" s="19">
        <v>23</v>
      </c>
      <c r="G9" s="20">
        <v>0.85540000000000005</v>
      </c>
      <c r="H9" s="20">
        <v>5.74E-2</v>
      </c>
      <c r="K9" t="s">
        <v>144</v>
      </c>
      <c r="L9" s="7">
        <v>0.20849999999999999</v>
      </c>
    </row>
    <row r="10" spans="1:18" ht="15.75" thickBot="1" x14ac:dyDescent="0.3">
      <c r="A10" s="17" t="s">
        <v>112</v>
      </c>
      <c r="B10" s="17">
        <v>772</v>
      </c>
      <c r="C10" s="17">
        <v>495</v>
      </c>
      <c r="D10" s="17" t="s">
        <v>108</v>
      </c>
      <c r="E10" s="17">
        <v>108</v>
      </c>
      <c r="F10" s="17">
        <v>161</v>
      </c>
      <c r="G10" s="18">
        <v>0.64119999999999999</v>
      </c>
      <c r="H10" s="18">
        <v>0.20849999999999999</v>
      </c>
      <c r="K10" t="s">
        <v>170</v>
      </c>
      <c r="L10" s="7">
        <v>0.14580000000000001</v>
      </c>
    </row>
    <row r="11" spans="1:18" ht="15.75" thickBot="1" x14ac:dyDescent="0.3">
      <c r="A11" s="19" t="s">
        <v>113</v>
      </c>
      <c r="B11" s="19">
        <v>101</v>
      </c>
      <c r="C11" s="19">
        <v>80</v>
      </c>
      <c r="D11" s="19" t="s">
        <v>108</v>
      </c>
      <c r="E11" s="19">
        <v>11</v>
      </c>
      <c r="F11" s="19" t="s">
        <v>108</v>
      </c>
      <c r="G11" s="20">
        <v>0.79210000000000003</v>
      </c>
      <c r="H11" s="20">
        <v>6.93E-2</v>
      </c>
      <c r="K11" t="s">
        <v>161</v>
      </c>
      <c r="L11" s="7">
        <v>9.5899999999999999E-2</v>
      </c>
    </row>
    <row r="12" spans="1:18" ht="15.75" thickBot="1" x14ac:dyDescent="0.3">
      <c r="A12" s="17" t="s">
        <v>114</v>
      </c>
      <c r="B12" s="17">
        <v>225</v>
      </c>
      <c r="C12" s="17">
        <v>209</v>
      </c>
      <c r="D12" s="17" t="s">
        <v>108</v>
      </c>
      <c r="E12" s="17">
        <v>10</v>
      </c>
      <c r="F12" s="17" t="s">
        <v>108</v>
      </c>
      <c r="G12" s="18">
        <v>0.92889999999999995</v>
      </c>
      <c r="H12" s="18">
        <v>2.6700000000000002E-2</v>
      </c>
      <c r="K12" t="s">
        <v>152</v>
      </c>
      <c r="L12" s="7">
        <v>7.0499999999999993E-2</v>
      </c>
    </row>
    <row r="13" spans="1:18" ht="15.75" thickBot="1" x14ac:dyDescent="0.3">
      <c r="A13" s="19" t="s">
        <v>115</v>
      </c>
      <c r="B13" s="19">
        <v>346</v>
      </c>
      <c r="C13" s="19">
        <v>319</v>
      </c>
      <c r="D13" s="19" t="s">
        <v>108</v>
      </c>
      <c r="E13" s="19">
        <v>16</v>
      </c>
      <c r="F13" s="19">
        <v>10</v>
      </c>
      <c r="G13" s="20">
        <v>0.92200000000000004</v>
      </c>
      <c r="H13" s="20">
        <v>2.8899999999999999E-2</v>
      </c>
      <c r="K13" t="s">
        <v>148</v>
      </c>
      <c r="L13" s="7">
        <v>6.93E-2</v>
      </c>
    </row>
    <row r="14" spans="1:18" ht="15.75" thickBot="1" x14ac:dyDescent="0.3">
      <c r="A14" s="17" t="s">
        <v>116</v>
      </c>
      <c r="B14" s="17">
        <v>96</v>
      </c>
      <c r="C14" s="17">
        <v>77</v>
      </c>
      <c r="D14" s="17" t="s">
        <v>108</v>
      </c>
      <c r="E14" s="17" t="s">
        <v>108</v>
      </c>
      <c r="F14" s="17">
        <v>14</v>
      </c>
      <c r="G14" s="18">
        <v>0.80210000000000004</v>
      </c>
      <c r="H14" s="18">
        <v>0.14580000000000001</v>
      </c>
      <c r="K14" t="s">
        <v>147</v>
      </c>
      <c r="L14" s="7">
        <v>5.74E-2</v>
      </c>
    </row>
    <row r="15" spans="1:18" ht="15.75" thickBot="1" x14ac:dyDescent="0.3">
      <c r="A15" s="19" t="s">
        <v>117</v>
      </c>
      <c r="B15" s="19">
        <v>241</v>
      </c>
      <c r="C15" s="19">
        <v>212</v>
      </c>
      <c r="D15" s="19" t="s">
        <v>108</v>
      </c>
      <c r="E15" s="19">
        <v>11</v>
      </c>
      <c r="F15" s="19">
        <v>17</v>
      </c>
      <c r="G15" s="20">
        <v>0.87970000000000004</v>
      </c>
      <c r="H15" s="20">
        <v>7.0499999999999993E-2</v>
      </c>
      <c r="K15" t="s">
        <v>145</v>
      </c>
      <c r="L15" s="7">
        <v>4.8399999999999999E-2</v>
      </c>
    </row>
    <row r="16" spans="1:18" ht="15.75" thickBot="1" x14ac:dyDescent="0.3">
      <c r="A16" s="17" t="s">
        <v>118</v>
      </c>
      <c r="B16" s="17">
        <v>45</v>
      </c>
      <c r="C16" s="17">
        <v>41</v>
      </c>
      <c r="D16" s="17" t="s">
        <v>108</v>
      </c>
      <c r="E16" s="17" t="s">
        <v>108</v>
      </c>
      <c r="F16" s="17" t="s">
        <v>108</v>
      </c>
      <c r="G16" s="18">
        <v>0.91110000000000002</v>
      </c>
      <c r="H16" s="30">
        <v>4.4400000000000002E-2</v>
      </c>
      <c r="K16" t="s">
        <v>153</v>
      </c>
      <c r="L16" s="7">
        <v>4.4400000000000002E-2</v>
      </c>
    </row>
    <row r="17" spans="1:13" ht="15.75" thickBot="1" x14ac:dyDescent="0.3">
      <c r="A17" s="19" t="s">
        <v>119</v>
      </c>
      <c r="B17" s="19">
        <v>153</v>
      </c>
      <c r="C17" s="19">
        <v>143</v>
      </c>
      <c r="D17" s="19" t="s">
        <v>108</v>
      </c>
      <c r="E17" s="19" t="s">
        <v>108</v>
      </c>
      <c r="F17" s="19" t="s">
        <v>108</v>
      </c>
      <c r="G17" s="20">
        <v>0.93459999999999999</v>
      </c>
      <c r="H17" s="30">
        <v>1.3100000000000001E-2</v>
      </c>
      <c r="K17" t="s">
        <v>142</v>
      </c>
      <c r="L17" s="7">
        <v>3.1600000000000003E-2</v>
      </c>
    </row>
    <row r="18" spans="1:13" ht="29.25" thickBot="1" x14ac:dyDescent="0.3">
      <c r="A18" s="17" t="s">
        <v>120</v>
      </c>
      <c r="B18" s="17">
        <v>46</v>
      </c>
      <c r="C18" s="17">
        <v>17</v>
      </c>
      <c r="D18" s="17" t="s">
        <v>108</v>
      </c>
      <c r="E18" s="17">
        <v>18</v>
      </c>
      <c r="F18" s="17">
        <v>11</v>
      </c>
      <c r="G18" s="18">
        <v>0.36959999999999998</v>
      </c>
      <c r="H18" s="18">
        <v>0.23910000000000001</v>
      </c>
      <c r="K18" t="s">
        <v>150</v>
      </c>
      <c r="L18" s="7">
        <v>2.8899999999999999E-2</v>
      </c>
    </row>
    <row r="19" spans="1:13" ht="15.75" thickBot="1" x14ac:dyDescent="0.3">
      <c r="A19" s="19" t="s">
        <v>121</v>
      </c>
      <c r="B19" s="19">
        <v>287</v>
      </c>
      <c r="C19" s="19">
        <v>142</v>
      </c>
      <c r="D19" s="19" t="s">
        <v>108</v>
      </c>
      <c r="E19" s="19">
        <v>69</v>
      </c>
      <c r="F19" s="19">
        <v>75</v>
      </c>
      <c r="G19" s="20">
        <v>0.49480000000000002</v>
      </c>
      <c r="H19" s="20">
        <v>0.26129999999999998</v>
      </c>
      <c r="K19" t="s">
        <v>171</v>
      </c>
      <c r="L19" s="7">
        <v>2.6700000000000002E-2</v>
      </c>
    </row>
    <row r="20" spans="1:13" ht="15.75" thickBot="1" x14ac:dyDescent="0.3">
      <c r="A20" s="17" t="s">
        <v>122</v>
      </c>
      <c r="B20" s="17">
        <v>146</v>
      </c>
      <c r="C20" s="17">
        <v>108</v>
      </c>
      <c r="D20" s="17" t="s">
        <v>108</v>
      </c>
      <c r="E20" s="17">
        <v>19</v>
      </c>
      <c r="F20" s="17">
        <v>14</v>
      </c>
      <c r="G20" s="18">
        <v>0.73970000000000002</v>
      </c>
      <c r="H20" s="18">
        <v>9.5899999999999999E-2</v>
      </c>
      <c r="K20" t="s">
        <v>146</v>
      </c>
      <c r="L20" s="7">
        <v>2.5499999999999998E-2</v>
      </c>
    </row>
    <row r="21" spans="1:13" ht="15.75" thickBot="1" x14ac:dyDescent="0.3">
      <c r="A21" s="19" t="s">
        <v>123</v>
      </c>
      <c r="B21" s="19">
        <v>59</v>
      </c>
      <c r="C21" s="19">
        <v>17</v>
      </c>
      <c r="D21" s="19" t="s">
        <v>108</v>
      </c>
      <c r="E21" s="19">
        <v>24</v>
      </c>
      <c r="F21" s="19">
        <v>18</v>
      </c>
      <c r="G21" s="20">
        <v>0.28810000000000002</v>
      </c>
      <c r="H21" s="20">
        <v>0.30509999999999998</v>
      </c>
      <c r="K21" t="s">
        <v>154</v>
      </c>
      <c r="L21" s="7">
        <v>1.3100000000000001E-2</v>
      </c>
    </row>
    <row r="22" spans="1:13" ht="15.75" thickBot="1" x14ac:dyDescent="0.3">
      <c r="A22" s="17" t="s">
        <v>124</v>
      </c>
      <c r="B22" s="17" t="s">
        <v>108</v>
      </c>
      <c r="C22" s="17" t="s">
        <v>108</v>
      </c>
      <c r="D22" s="17" t="s">
        <v>108</v>
      </c>
      <c r="E22" s="17" t="s">
        <v>108</v>
      </c>
      <c r="F22" s="17" t="s">
        <v>108</v>
      </c>
      <c r="G22" s="17" t="s">
        <v>125</v>
      </c>
      <c r="H22" s="18">
        <v>0.1111</v>
      </c>
      <c r="M22" s="7"/>
    </row>
    <row r="23" spans="1:13" x14ac:dyDescent="0.25">
      <c r="A23" t="s">
        <v>71</v>
      </c>
      <c r="B23">
        <f>SUM(B6:B22)</f>
        <v>3468</v>
      </c>
      <c r="F23">
        <f>SUM(F6:F22)</f>
        <v>343</v>
      </c>
      <c r="H23" s="31">
        <f>F23/B23</f>
        <v>9.8904267589388695E-2</v>
      </c>
      <c r="M23" s="7"/>
    </row>
    <row r="25" spans="1:13" x14ac:dyDescent="0.25">
      <c r="A25" t="s">
        <v>126</v>
      </c>
      <c r="B25" t="s">
        <v>127</v>
      </c>
      <c r="C25" t="s">
        <v>104</v>
      </c>
      <c r="D25" t="s">
        <v>128</v>
      </c>
      <c r="E25" t="s">
        <v>129</v>
      </c>
      <c r="F25" t="s">
        <v>105</v>
      </c>
      <c r="G25" t="s">
        <v>130</v>
      </c>
      <c r="H25" t="s">
        <v>19</v>
      </c>
    </row>
    <row r="26" spans="1:13" ht="15.75" thickBot="1" x14ac:dyDescent="0.3">
      <c r="A26" s="21" t="s">
        <v>106</v>
      </c>
      <c r="B26" s="22">
        <v>138003</v>
      </c>
      <c r="C26" s="22">
        <v>104818</v>
      </c>
      <c r="D26" s="22">
        <v>1247</v>
      </c>
      <c r="E26" s="22">
        <v>16661</v>
      </c>
      <c r="F26" s="22">
        <v>15277</v>
      </c>
      <c r="G26" s="23">
        <v>0.75949999999999995</v>
      </c>
      <c r="H26" s="23">
        <v>0.11070000000000001</v>
      </c>
    </row>
    <row r="27" spans="1:13" ht="15.75" thickBot="1" x14ac:dyDescent="0.3">
      <c r="A27" s="24" t="s">
        <v>107</v>
      </c>
      <c r="B27" s="24">
        <v>76</v>
      </c>
      <c r="C27" s="24">
        <v>63</v>
      </c>
      <c r="D27" s="24" t="s">
        <v>108</v>
      </c>
      <c r="E27" s="24" t="s">
        <v>108</v>
      </c>
      <c r="F27" s="24" t="s">
        <v>108</v>
      </c>
      <c r="G27" s="25">
        <v>0.82889999999999997</v>
      </c>
      <c r="H27" s="25">
        <v>7.8899999999999998E-2</v>
      </c>
    </row>
    <row r="28" spans="1:13" ht="15.75" thickBot="1" x14ac:dyDescent="0.3">
      <c r="A28" s="26" t="s">
        <v>109</v>
      </c>
      <c r="B28" s="26">
        <v>282</v>
      </c>
      <c r="C28" s="26">
        <v>230</v>
      </c>
      <c r="D28" s="26" t="s">
        <v>108</v>
      </c>
      <c r="E28" s="26">
        <v>33</v>
      </c>
      <c r="F28" s="26">
        <v>19</v>
      </c>
      <c r="G28" s="27">
        <v>0.81559999999999999</v>
      </c>
      <c r="H28" s="27">
        <v>6.7400000000000002E-2</v>
      </c>
      <c r="I28">
        <f>F28/B28</f>
        <v>6.7375886524822695E-2</v>
      </c>
    </row>
    <row r="29" spans="1:13" ht="15.75" thickBot="1" x14ac:dyDescent="0.3">
      <c r="A29" s="24" t="s">
        <v>110</v>
      </c>
      <c r="B29" s="24">
        <v>254</v>
      </c>
      <c r="C29" s="24">
        <v>239</v>
      </c>
      <c r="D29" s="24" t="s">
        <v>108</v>
      </c>
      <c r="E29" s="24" t="s">
        <v>108</v>
      </c>
      <c r="F29" s="24">
        <v>10</v>
      </c>
      <c r="G29" s="25">
        <v>0.94089999999999996</v>
      </c>
      <c r="H29" s="32">
        <v>3.9399999999999998E-2</v>
      </c>
    </row>
    <row r="30" spans="1:13" ht="15.75" thickBot="1" x14ac:dyDescent="0.3">
      <c r="A30" s="26" t="s">
        <v>111</v>
      </c>
      <c r="B30" s="26">
        <v>497</v>
      </c>
      <c r="C30" s="26">
        <v>344</v>
      </c>
      <c r="D30" s="26" t="s">
        <v>108</v>
      </c>
      <c r="E30" s="26">
        <v>71</v>
      </c>
      <c r="F30" s="26">
        <v>74</v>
      </c>
      <c r="G30" s="27">
        <v>0.69220000000000004</v>
      </c>
      <c r="H30" s="27">
        <v>0.1489</v>
      </c>
    </row>
    <row r="31" spans="1:13" ht="15.75" thickBot="1" x14ac:dyDescent="0.3">
      <c r="A31" s="24" t="s">
        <v>112</v>
      </c>
      <c r="B31" s="28">
        <v>1174</v>
      </c>
      <c r="C31" s="24">
        <v>685</v>
      </c>
      <c r="D31" s="24">
        <v>25</v>
      </c>
      <c r="E31" s="24">
        <v>165</v>
      </c>
      <c r="F31" s="24">
        <v>299</v>
      </c>
      <c r="G31" s="25">
        <v>0.58350000000000002</v>
      </c>
      <c r="H31" s="25">
        <v>0.25469999999999998</v>
      </c>
    </row>
    <row r="32" spans="1:13" ht="15.75" thickBot="1" x14ac:dyDescent="0.3">
      <c r="A32" s="26" t="s">
        <v>113</v>
      </c>
      <c r="B32" s="26">
        <v>108</v>
      </c>
      <c r="C32" s="26">
        <v>87</v>
      </c>
      <c r="D32" s="26" t="s">
        <v>108</v>
      </c>
      <c r="E32" s="26">
        <v>10</v>
      </c>
      <c r="F32" s="26">
        <v>11</v>
      </c>
      <c r="G32" s="27">
        <v>0.80559999999999998</v>
      </c>
      <c r="H32" s="27">
        <v>0.1019</v>
      </c>
    </row>
    <row r="33" spans="1:11" ht="15.75" thickBot="1" x14ac:dyDescent="0.3">
      <c r="A33" s="24" t="s">
        <v>114</v>
      </c>
      <c r="B33" s="24">
        <v>277</v>
      </c>
      <c r="C33" s="24">
        <v>231</v>
      </c>
      <c r="D33" s="24" t="s">
        <v>108</v>
      </c>
      <c r="E33" s="24">
        <v>25</v>
      </c>
      <c r="F33" s="24">
        <v>21</v>
      </c>
      <c r="G33" s="25">
        <v>0.83389999999999997</v>
      </c>
      <c r="H33" s="25">
        <v>7.5800000000000006E-2</v>
      </c>
    </row>
    <row r="34" spans="1:11" ht="15.75" thickBot="1" x14ac:dyDescent="0.3">
      <c r="A34" s="26" t="s">
        <v>115</v>
      </c>
      <c r="B34" s="26">
        <v>346</v>
      </c>
      <c r="C34" s="26">
        <v>321</v>
      </c>
      <c r="D34" s="26" t="s">
        <v>108</v>
      </c>
      <c r="E34" s="26">
        <v>16</v>
      </c>
      <c r="F34" s="26" t="s">
        <v>108</v>
      </c>
      <c r="G34" s="27">
        <v>0.92769999999999997</v>
      </c>
      <c r="H34" s="27">
        <v>2.5999999999999999E-2</v>
      </c>
    </row>
    <row r="35" spans="1:11" ht="15.75" thickBot="1" x14ac:dyDescent="0.3">
      <c r="A35" s="24" t="s">
        <v>116</v>
      </c>
      <c r="B35" s="24">
        <v>148</v>
      </c>
      <c r="C35" s="24">
        <v>118</v>
      </c>
      <c r="D35" s="24" t="s">
        <v>108</v>
      </c>
      <c r="E35" s="24">
        <v>10</v>
      </c>
      <c r="F35" s="24">
        <v>20</v>
      </c>
      <c r="G35" s="25">
        <v>0.79730000000000001</v>
      </c>
      <c r="H35" s="25">
        <v>0.1351</v>
      </c>
    </row>
    <row r="36" spans="1:11" ht="15.75" thickBot="1" x14ac:dyDescent="0.3">
      <c r="A36" s="26" t="s">
        <v>117</v>
      </c>
      <c r="B36" s="26">
        <v>273</v>
      </c>
      <c r="C36" s="26">
        <v>227</v>
      </c>
      <c r="D36" s="26" t="s">
        <v>108</v>
      </c>
      <c r="E36" s="26">
        <v>21</v>
      </c>
      <c r="F36" s="26">
        <v>25</v>
      </c>
      <c r="G36" s="27">
        <v>0.83150000000000002</v>
      </c>
      <c r="H36" s="27">
        <v>9.1600000000000001E-2</v>
      </c>
    </row>
    <row r="37" spans="1:11" ht="15.75" thickBot="1" x14ac:dyDescent="0.3">
      <c r="A37" s="24" t="s">
        <v>118</v>
      </c>
      <c r="B37" s="24">
        <v>52</v>
      </c>
      <c r="C37" s="24">
        <v>47</v>
      </c>
      <c r="D37" s="24" t="s">
        <v>108</v>
      </c>
      <c r="E37" s="24" t="s">
        <v>108</v>
      </c>
      <c r="F37" s="24" t="s">
        <v>108</v>
      </c>
      <c r="G37" s="25">
        <v>0.90380000000000005</v>
      </c>
      <c r="H37" s="32">
        <v>7.6899999999999996E-2</v>
      </c>
    </row>
    <row r="38" spans="1:11" ht="15.75" thickBot="1" x14ac:dyDescent="0.3">
      <c r="A38" s="26" t="s">
        <v>119</v>
      </c>
      <c r="B38" s="26">
        <v>196</v>
      </c>
      <c r="C38" s="26">
        <v>186</v>
      </c>
      <c r="D38" s="26" t="s">
        <v>108</v>
      </c>
      <c r="E38" s="26" t="s">
        <v>108</v>
      </c>
      <c r="F38" s="26" t="s">
        <v>108</v>
      </c>
      <c r="G38" s="27">
        <v>0.94899999999999995</v>
      </c>
      <c r="H38" s="32">
        <v>2.5499999999999998E-2</v>
      </c>
    </row>
    <row r="39" spans="1:11" ht="15.75" thickBot="1" x14ac:dyDescent="0.3">
      <c r="A39" s="24" t="s">
        <v>124</v>
      </c>
      <c r="B39" s="24">
        <v>24</v>
      </c>
      <c r="C39" s="24" t="s">
        <v>108</v>
      </c>
      <c r="D39" s="24" t="s">
        <v>108</v>
      </c>
      <c r="E39" s="24" t="s">
        <v>108</v>
      </c>
      <c r="F39" s="24">
        <v>17</v>
      </c>
      <c r="G39" s="24" t="s">
        <v>125</v>
      </c>
      <c r="H39" s="25">
        <v>0.70830000000000004</v>
      </c>
    </row>
    <row r="40" spans="1:11" x14ac:dyDescent="0.25">
      <c r="A40" s="29" t="s">
        <v>71</v>
      </c>
      <c r="B40">
        <f>SUM(B27:B39)</f>
        <v>3707</v>
      </c>
      <c r="F40">
        <f>SUM(F27:F39)</f>
        <v>496</v>
      </c>
      <c r="H40">
        <f>F40/B40</f>
        <v>0.13380091718370651</v>
      </c>
    </row>
    <row r="42" spans="1:11" x14ac:dyDescent="0.25">
      <c r="A42" t="s">
        <v>134</v>
      </c>
    </row>
    <row r="43" spans="1:11" x14ac:dyDescent="0.25">
      <c r="A43" t="s">
        <v>167</v>
      </c>
      <c r="D43" t="s">
        <v>165</v>
      </c>
      <c r="G43" t="s">
        <v>166</v>
      </c>
      <c r="K43" t="s">
        <v>133</v>
      </c>
    </row>
    <row r="44" spans="1:11" x14ac:dyDescent="0.25">
      <c r="A44" t="s">
        <v>168</v>
      </c>
    </row>
    <row r="45" spans="1:11" ht="22.5" x14ac:dyDescent="0.25">
      <c r="A45" s="33" t="s">
        <v>135</v>
      </c>
      <c r="B45" s="33" t="s">
        <v>136</v>
      </c>
      <c r="C45" s="33" t="s">
        <v>137</v>
      </c>
      <c r="D45" s="33" t="s">
        <v>138</v>
      </c>
      <c r="E45" s="33" t="s">
        <v>139</v>
      </c>
      <c r="F45" s="33" t="s">
        <v>140</v>
      </c>
      <c r="G45" s="33" t="s">
        <v>141</v>
      </c>
      <c r="H45" s="35"/>
    </row>
    <row r="46" spans="1:11" x14ac:dyDescent="0.25">
      <c r="A46" s="35" t="s">
        <v>142</v>
      </c>
      <c r="B46" s="35" t="s">
        <v>143</v>
      </c>
      <c r="C46" s="35">
        <v>10347651.439999999</v>
      </c>
      <c r="D46" s="41">
        <v>61538</v>
      </c>
      <c r="E46" s="42">
        <v>127</v>
      </c>
      <c r="F46" s="42">
        <v>168.15</v>
      </c>
      <c r="G46" s="41">
        <v>21</v>
      </c>
    </row>
    <row r="47" spans="1:11" x14ac:dyDescent="0.25">
      <c r="A47" s="35" t="s">
        <v>144</v>
      </c>
      <c r="B47" s="35" t="s">
        <v>143</v>
      </c>
      <c r="C47" s="35">
        <v>27311715.93</v>
      </c>
      <c r="D47" s="41">
        <v>61875</v>
      </c>
      <c r="E47" s="42">
        <v>166</v>
      </c>
      <c r="F47" s="42">
        <v>441.4</v>
      </c>
      <c r="G47" s="41">
        <v>24</v>
      </c>
    </row>
    <row r="48" spans="1:11" x14ac:dyDescent="0.25">
      <c r="A48" s="35" t="s">
        <v>145</v>
      </c>
      <c r="B48" s="35" t="s">
        <v>143</v>
      </c>
      <c r="C48" s="35">
        <v>1860376.28</v>
      </c>
      <c r="D48" s="41">
        <v>48485</v>
      </c>
      <c r="E48" s="42">
        <v>307</v>
      </c>
      <c r="F48" s="42">
        <v>38.369999999999997</v>
      </c>
      <c r="G48" s="41">
        <v>19</v>
      </c>
    </row>
    <row r="49" spans="1:7" x14ac:dyDescent="0.25">
      <c r="A49" s="39" t="s">
        <v>146</v>
      </c>
      <c r="B49" s="39" t="s">
        <v>143</v>
      </c>
      <c r="C49" s="39">
        <v>7593244.5199999996</v>
      </c>
      <c r="D49" s="37">
        <v>54766</v>
      </c>
      <c r="E49" s="39">
        <v>439</v>
      </c>
      <c r="F49" s="39">
        <v>138.65</v>
      </c>
      <c r="G49" s="37">
        <v>19</v>
      </c>
    </row>
    <row r="50" spans="1:7" x14ac:dyDescent="0.25">
      <c r="A50" s="35" t="s">
        <v>147</v>
      </c>
      <c r="B50" s="35" t="s">
        <v>143</v>
      </c>
      <c r="C50" s="35">
        <v>16213086.189999999</v>
      </c>
      <c r="D50" s="41">
        <v>66357</v>
      </c>
      <c r="E50" s="42">
        <v>455</v>
      </c>
      <c r="F50" s="42">
        <v>244.33</v>
      </c>
      <c r="G50" s="41">
        <v>23</v>
      </c>
    </row>
    <row r="51" spans="1:7" x14ac:dyDescent="0.25">
      <c r="A51" s="35" t="s">
        <v>148</v>
      </c>
      <c r="B51" s="35" t="s">
        <v>143</v>
      </c>
      <c r="C51" s="35">
        <v>3306048.09</v>
      </c>
      <c r="D51" s="41">
        <v>52999</v>
      </c>
      <c r="E51" s="42">
        <v>321</v>
      </c>
      <c r="F51" s="42">
        <v>62.38</v>
      </c>
      <c r="G51" s="41">
        <v>20</v>
      </c>
    </row>
    <row r="52" spans="1:7" x14ac:dyDescent="0.25">
      <c r="A52" s="35" t="s">
        <v>149</v>
      </c>
      <c r="B52" s="35" t="s">
        <v>143</v>
      </c>
      <c r="C52" s="35">
        <v>9574790.6600000001</v>
      </c>
      <c r="D52" s="41">
        <v>65179</v>
      </c>
      <c r="E52" s="42">
        <v>359</v>
      </c>
      <c r="F52" s="42">
        <v>146.9</v>
      </c>
      <c r="G52" s="41">
        <v>22</v>
      </c>
    </row>
    <row r="53" spans="1:7" x14ac:dyDescent="0.25">
      <c r="A53" s="35" t="s">
        <v>150</v>
      </c>
      <c r="B53" s="35" t="s">
        <v>143</v>
      </c>
      <c r="C53" s="35">
        <v>14374336.01</v>
      </c>
      <c r="D53" s="41">
        <v>64361</v>
      </c>
      <c r="E53" s="42">
        <v>193</v>
      </c>
      <c r="F53" s="42">
        <v>223.34</v>
      </c>
      <c r="G53" s="41">
        <v>20</v>
      </c>
    </row>
    <row r="54" spans="1:7" x14ac:dyDescent="0.25">
      <c r="A54" s="35" t="s">
        <v>151</v>
      </c>
      <c r="B54" s="35" t="s">
        <v>143</v>
      </c>
      <c r="C54" s="35">
        <v>3653556.27</v>
      </c>
      <c r="D54" s="41">
        <v>51343</v>
      </c>
      <c r="E54" s="42">
        <v>88</v>
      </c>
      <c r="F54" s="42">
        <v>71.16</v>
      </c>
      <c r="G54" s="41">
        <v>17</v>
      </c>
    </row>
    <row r="55" spans="1:7" x14ac:dyDescent="0.25">
      <c r="A55" s="35" t="s">
        <v>152</v>
      </c>
      <c r="B55" s="35" t="s">
        <v>143</v>
      </c>
      <c r="C55" s="35">
        <v>8550540.9199999999</v>
      </c>
      <c r="D55" s="41">
        <v>60771</v>
      </c>
      <c r="E55" s="42">
        <v>156</v>
      </c>
      <c r="F55" s="42">
        <v>140.69999999999999</v>
      </c>
      <c r="G55" s="41">
        <v>22</v>
      </c>
    </row>
    <row r="56" spans="1:7" x14ac:dyDescent="0.25">
      <c r="A56" s="39" t="s">
        <v>153</v>
      </c>
      <c r="B56" s="39" t="s">
        <v>143</v>
      </c>
      <c r="C56" s="39">
        <v>1026468.14</v>
      </c>
      <c r="D56" s="37">
        <v>38287</v>
      </c>
      <c r="E56" s="39">
        <v>327</v>
      </c>
      <c r="F56" s="39">
        <v>26.81</v>
      </c>
      <c r="G56" s="37">
        <v>19</v>
      </c>
    </row>
    <row r="57" spans="1:7" x14ac:dyDescent="0.25">
      <c r="A57" s="39" t="s">
        <v>154</v>
      </c>
      <c r="B57" s="39" t="s">
        <v>143</v>
      </c>
      <c r="C57" s="39">
        <v>5029540.3499999996</v>
      </c>
      <c r="D57" s="37">
        <v>56645</v>
      </c>
      <c r="E57" s="39">
        <v>470</v>
      </c>
      <c r="F57" s="39">
        <v>88.79</v>
      </c>
      <c r="G57" s="37">
        <v>21</v>
      </c>
    </row>
    <row r="58" spans="1:7" x14ac:dyDescent="0.25">
      <c r="A58" s="35" t="s">
        <v>155</v>
      </c>
      <c r="B58" s="35" t="s">
        <v>143</v>
      </c>
      <c r="C58" s="35">
        <v>0</v>
      </c>
      <c r="D58" s="41">
        <v>0</v>
      </c>
      <c r="E58" s="42">
        <v>0</v>
      </c>
      <c r="F58" s="42">
        <v>15</v>
      </c>
      <c r="G58" s="41">
        <v>17</v>
      </c>
    </row>
    <row r="59" spans="1:7" x14ac:dyDescent="0.25">
      <c r="A59" s="35" t="s">
        <v>156</v>
      </c>
      <c r="B59" s="35" t="s">
        <v>143</v>
      </c>
      <c r="C59" s="35">
        <v>0</v>
      </c>
      <c r="D59" s="41">
        <v>0</v>
      </c>
      <c r="E59" s="42">
        <v>0</v>
      </c>
      <c r="F59" s="42">
        <v>8</v>
      </c>
      <c r="G59" s="41">
        <v>32</v>
      </c>
    </row>
    <row r="60" spans="1:7" x14ac:dyDescent="0.25">
      <c r="A60" s="35" t="s">
        <v>157</v>
      </c>
      <c r="B60" s="35" t="s">
        <v>143</v>
      </c>
      <c r="C60" s="35">
        <v>0</v>
      </c>
      <c r="D60" s="41">
        <v>0</v>
      </c>
      <c r="E60" s="42">
        <v>0</v>
      </c>
      <c r="F60" s="42">
        <v>16</v>
      </c>
      <c r="G60" s="41">
        <v>15</v>
      </c>
    </row>
    <row r="61" spans="1:7" x14ac:dyDescent="0.25">
      <c r="A61" s="35" t="s">
        <v>158</v>
      </c>
      <c r="B61" s="35" t="s">
        <v>143</v>
      </c>
      <c r="C61" s="35">
        <v>0</v>
      </c>
      <c r="D61" s="41">
        <v>0</v>
      </c>
      <c r="E61" s="42">
        <v>0</v>
      </c>
      <c r="F61" s="42">
        <v>6</v>
      </c>
      <c r="G61" s="41">
        <v>12</v>
      </c>
    </row>
    <row r="62" spans="1:7" x14ac:dyDescent="0.25">
      <c r="A62" s="35" t="s">
        <v>159</v>
      </c>
      <c r="B62" s="35" t="s">
        <v>143</v>
      </c>
      <c r="C62" s="35">
        <v>0</v>
      </c>
      <c r="D62" s="41">
        <v>0</v>
      </c>
      <c r="E62" s="42">
        <v>0</v>
      </c>
      <c r="F62" s="42">
        <v>30</v>
      </c>
      <c r="G62" s="41">
        <v>21</v>
      </c>
    </row>
    <row r="63" spans="1:7" x14ac:dyDescent="0.25">
      <c r="A63" s="35" t="s">
        <v>160</v>
      </c>
      <c r="B63" s="35" t="s">
        <v>143</v>
      </c>
      <c r="C63" s="35">
        <v>0</v>
      </c>
      <c r="D63" s="41">
        <v>0</v>
      </c>
      <c r="E63" s="42">
        <v>0</v>
      </c>
      <c r="F63" s="42">
        <v>26.01</v>
      </c>
      <c r="G63" s="41">
        <v>21</v>
      </c>
    </row>
    <row r="64" spans="1:7" x14ac:dyDescent="0.25">
      <c r="A64" s="35" t="s">
        <v>161</v>
      </c>
      <c r="B64" s="35" t="s">
        <v>143</v>
      </c>
      <c r="C64" s="35">
        <v>0</v>
      </c>
      <c r="D64" s="41">
        <v>0</v>
      </c>
      <c r="E64" s="42">
        <v>0</v>
      </c>
      <c r="F64" s="42">
        <v>60.26</v>
      </c>
      <c r="G64" s="41">
        <v>28</v>
      </c>
    </row>
    <row r="65" spans="1:75" x14ac:dyDescent="0.25">
      <c r="A65" s="35" t="s">
        <v>162</v>
      </c>
      <c r="B65" s="35" t="s">
        <v>143</v>
      </c>
      <c r="C65" s="35">
        <v>0</v>
      </c>
      <c r="D65" s="41">
        <v>0</v>
      </c>
      <c r="E65" s="42">
        <v>0</v>
      </c>
      <c r="F65" s="42">
        <v>6.83</v>
      </c>
      <c r="G65" s="41">
        <v>23</v>
      </c>
    </row>
    <row r="66" spans="1:75" x14ac:dyDescent="0.25">
      <c r="A66" s="35" t="s">
        <v>163</v>
      </c>
      <c r="B66" s="35" t="s">
        <v>143</v>
      </c>
      <c r="C66" s="35">
        <v>0</v>
      </c>
      <c r="D66" s="41">
        <v>0</v>
      </c>
      <c r="E66" s="42">
        <v>0</v>
      </c>
      <c r="F66" s="42">
        <v>32.29</v>
      </c>
      <c r="G66" s="41">
        <v>33</v>
      </c>
    </row>
    <row r="67" spans="1:75" x14ac:dyDescent="0.25">
      <c r="A67" s="35" t="s">
        <v>164</v>
      </c>
      <c r="B67" s="35" t="s">
        <v>143</v>
      </c>
      <c r="C67" s="35">
        <v>0</v>
      </c>
      <c r="D67" s="41">
        <v>0</v>
      </c>
      <c r="E67" s="42">
        <v>0</v>
      </c>
      <c r="F67" s="42">
        <v>4</v>
      </c>
      <c r="G67" s="41">
        <v>26</v>
      </c>
    </row>
    <row r="68" spans="1:75" x14ac:dyDescent="0.25">
      <c r="A68" s="34" t="s">
        <v>71</v>
      </c>
      <c r="B68" s="35"/>
      <c r="C68" s="35"/>
      <c r="D68" s="43">
        <f>AVERAGE(D46:D57)</f>
        <v>56883.833333333336</v>
      </c>
      <c r="E68" s="35"/>
      <c r="F68" s="35"/>
      <c r="G68" s="44">
        <f>AVERAGE(G46:G67)</f>
        <v>21.59090909090909</v>
      </c>
      <c r="H68" s="36"/>
      <c r="J68" s="35"/>
      <c r="K68" s="36"/>
      <c r="L68" s="35"/>
      <c r="M68" s="35"/>
      <c r="N68" s="36"/>
      <c r="O68" s="35"/>
      <c r="P68" s="35"/>
      <c r="Q68" s="36"/>
      <c r="R68" s="35"/>
      <c r="S68" s="35"/>
      <c r="T68" s="36"/>
      <c r="U68" s="35"/>
      <c r="V68" s="35"/>
      <c r="W68" s="36"/>
      <c r="X68" s="35"/>
      <c r="Y68" s="35"/>
      <c r="Z68" s="36"/>
      <c r="AA68" s="35"/>
      <c r="AB68" s="35"/>
      <c r="AC68" s="36"/>
      <c r="AD68" s="35"/>
      <c r="AE68" s="35"/>
      <c r="AF68" s="36"/>
      <c r="AG68" s="35"/>
      <c r="AH68" s="35"/>
      <c r="AI68" s="36"/>
      <c r="AJ68" s="35"/>
      <c r="AK68" s="35"/>
      <c r="AL68" s="36"/>
      <c r="AM68" s="35"/>
      <c r="AN68" s="35"/>
      <c r="AO68" s="36"/>
      <c r="AP68" s="35"/>
      <c r="AQ68" s="35"/>
      <c r="AR68" s="36"/>
      <c r="AS68" s="35"/>
      <c r="AT68" s="35"/>
      <c r="AU68" s="36"/>
      <c r="AV68" s="35"/>
      <c r="AW68" s="35"/>
      <c r="AX68" s="36"/>
      <c r="AY68" s="35"/>
      <c r="AZ68" s="35"/>
      <c r="BA68" s="36"/>
      <c r="BB68" s="35"/>
      <c r="BC68" s="35"/>
      <c r="BD68" s="36"/>
      <c r="BE68" s="35"/>
      <c r="BF68" s="35"/>
      <c r="BG68" s="36"/>
      <c r="BH68" s="35"/>
      <c r="BI68" s="35"/>
      <c r="BJ68" s="40">
        <f>AVERAGE(D46:D57)</f>
        <v>56883.833333333336</v>
      </c>
      <c r="BK68" s="35"/>
      <c r="BL68" s="35"/>
      <c r="BM68" s="36"/>
      <c r="BN68" s="35"/>
      <c r="BO68" s="35"/>
      <c r="BP68" s="36"/>
      <c r="BQ68" s="35"/>
      <c r="BR68" s="35"/>
      <c r="BS68" s="40">
        <f>AVERAGE(G46:G67)</f>
        <v>21.59090909090909</v>
      </c>
      <c r="BT68" s="35"/>
      <c r="BU68" s="38"/>
      <c r="BV68" s="35"/>
      <c r="BW68" s="35"/>
    </row>
    <row r="70" spans="1:75" x14ac:dyDescent="0.25">
      <c r="A70" s="45" t="s">
        <v>169</v>
      </c>
    </row>
    <row r="71" spans="1:75" x14ac:dyDescent="0.25">
      <c r="A71" s="50"/>
      <c r="B71" s="46"/>
      <c r="C71" s="46"/>
      <c r="D71" s="46"/>
      <c r="E71" s="46"/>
      <c r="F71" s="46"/>
      <c r="G71" s="46"/>
      <c r="H71" s="46"/>
      <c r="I71" s="46"/>
      <c r="J71" s="46"/>
      <c r="K71" s="46"/>
    </row>
    <row r="72" spans="1:75" ht="22.5" x14ac:dyDescent="0.25">
      <c r="A72" s="51" t="s">
        <v>135</v>
      </c>
      <c r="B72" s="47" t="s">
        <v>138</v>
      </c>
      <c r="C72" s="47" t="s">
        <v>141</v>
      </c>
    </row>
    <row r="73" spans="1:75" x14ac:dyDescent="0.25">
      <c r="A73" s="52" t="s">
        <v>142</v>
      </c>
      <c r="B73" s="48">
        <v>65519</v>
      </c>
      <c r="C73" s="48">
        <v>21</v>
      </c>
    </row>
    <row r="74" spans="1:75" x14ac:dyDescent="0.25">
      <c r="A74" s="52" t="s">
        <v>144</v>
      </c>
      <c r="B74" s="48">
        <v>64704</v>
      </c>
      <c r="C74" s="48">
        <v>25</v>
      </c>
    </row>
    <row r="75" spans="1:75" x14ac:dyDescent="0.25">
      <c r="A75" s="52" t="s">
        <v>145</v>
      </c>
      <c r="B75" s="48">
        <v>45320</v>
      </c>
      <c r="C75" s="48">
        <v>20</v>
      </c>
    </row>
    <row r="76" spans="1:75" x14ac:dyDescent="0.25">
      <c r="A76" s="52" t="s">
        <v>146</v>
      </c>
      <c r="B76" s="49">
        <v>60176</v>
      </c>
      <c r="C76" s="48">
        <v>23</v>
      </c>
    </row>
    <row r="77" spans="1:75" x14ac:dyDescent="0.25">
      <c r="A77" s="52" t="s">
        <v>147</v>
      </c>
      <c r="B77" s="48">
        <v>64520</v>
      </c>
      <c r="C77" s="48">
        <v>24</v>
      </c>
    </row>
    <row r="78" spans="1:75" x14ac:dyDescent="0.25">
      <c r="A78" s="52" t="s">
        <v>148</v>
      </c>
      <c r="B78" s="48">
        <v>50031</v>
      </c>
      <c r="C78" s="48">
        <v>21</v>
      </c>
    </row>
    <row r="79" spans="1:75" x14ac:dyDescent="0.25">
      <c r="A79" s="52" t="s">
        <v>149</v>
      </c>
      <c r="B79" s="48">
        <v>61442</v>
      </c>
      <c r="C79" s="48">
        <v>23</v>
      </c>
    </row>
    <row r="80" spans="1:75" x14ac:dyDescent="0.25">
      <c r="A80" s="52" t="s">
        <v>150</v>
      </c>
      <c r="B80" s="48">
        <v>69472</v>
      </c>
      <c r="C80" s="48">
        <v>22</v>
      </c>
    </row>
    <row r="81" spans="1:3" x14ac:dyDescent="0.25">
      <c r="A81" s="52" t="s">
        <v>151</v>
      </c>
      <c r="B81" s="48">
        <v>58610</v>
      </c>
      <c r="C81" s="48">
        <v>23</v>
      </c>
    </row>
    <row r="82" spans="1:3" x14ac:dyDescent="0.25">
      <c r="A82" s="52" t="s">
        <v>152</v>
      </c>
      <c r="B82" s="48">
        <v>69804</v>
      </c>
      <c r="C82" s="48">
        <v>23</v>
      </c>
    </row>
    <row r="83" spans="1:3" x14ac:dyDescent="0.25">
      <c r="A83" s="52" t="s">
        <v>153</v>
      </c>
      <c r="B83" s="49">
        <v>43671</v>
      </c>
      <c r="C83" s="48">
        <v>20</v>
      </c>
    </row>
    <row r="84" spans="1:3" x14ac:dyDescent="0.25">
      <c r="A84" s="52" t="s">
        <v>154</v>
      </c>
      <c r="B84" s="49">
        <v>58504</v>
      </c>
      <c r="C84" s="48">
        <v>21</v>
      </c>
    </row>
    <row r="85" spans="1:3" x14ac:dyDescent="0.25">
      <c r="A85" s="52" t="s">
        <v>155</v>
      </c>
      <c r="B85" s="48">
        <v>40182</v>
      </c>
      <c r="C85" s="48">
        <v>30</v>
      </c>
    </row>
    <row r="86" spans="1:3" x14ac:dyDescent="0.25">
      <c r="A86" s="52" t="s">
        <v>156</v>
      </c>
      <c r="B86" s="48">
        <v>38556</v>
      </c>
      <c r="C86" s="48">
        <v>21</v>
      </c>
    </row>
    <row r="87" spans="1:3" x14ac:dyDescent="0.25">
      <c r="A87" s="52" t="s">
        <v>157</v>
      </c>
      <c r="B87" s="48">
        <v>0</v>
      </c>
      <c r="C87" s="48">
        <v>19</v>
      </c>
    </row>
    <row r="88" spans="1:3" x14ac:dyDescent="0.25">
      <c r="A88" s="52" t="s">
        <v>158</v>
      </c>
      <c r="B88" s="48">
        <v>0</v>
      </c>
      <c r="C88" s="48">
        <v>12</v>
      </c>
    </row>
    <row r="89" spans="1:3" x14ac:dyDescent="0.25">
      <c r="A89" s="52" t="s">
        <v>159</v>
      </c>
      <c r="B89" s="48">
        <v>0</v>
      </c>
      <c r="C89" s="48">
        <v>22</v>
      </c>
    </row>
    <row r="90" spans="1:3" x14ac:dyDescent="0.25">
      <c r="A90" s="52" t="s">
        <v>160</v>
      </c>
      <c r="B90" s="48">
        <v>0</v>
      </c>
      <c r="C90" s="48">
        <v>22</v>
      </c>
    </row>
    <row r="91" spans="1:3" x14ac:dyDescent="0.25">
      <c r="A91" s="52" t="s">
        <v>161</v>
      </c>
      <c r="B91" s="48">
        <v>27085</v>
      </c>
      <c r="C91" s="48">
        <v>27</v>
      </c>
    </row>
    <row r="92" spans="1:3" x14ac:dyDescent="0.25">
      <c r="A92" s="50"/>
      <c r="B92" s="46"/>
      <c r="C92" s="46"/>
    </row>
    <row r="93" spans="1:3" x14ac:dyDescent="0.25">
      <c r="A93" s="53" t="s">
        <v>71</v>
      </c>
      <c r="B93">
        <f>(SUM(B73:B86)+B91)/15</f>
        <v>54506.400000000001</v>
      </c>
      <c r="C93">
        <f>AVERAGE(C73:C91)</f>
        <v>22.05263157894737</v>
      </c>
    </row>
    <row r="874" spans="4:11" x14ac:dyDescent="0.25">
      <c r="D874" s="46"/>
      <c r="E874" s="46"/>
      <c r="F874" s="46"/>
      <c r="G874" s="46"/>
      <c r="H874" s="46"/>
      <c r="I874" s="46"/>
      <c r="J874" s="46"/>
      <c r="K874" s="46"/>
    </row>
  </sheetData>
  <sortState xmlns:xlrd2="http://schemas.microsoft.com/office/spreadsheetml/2017/richdata2" ref="K6:L21">
    <sortCondition descending="1" ref="L6:L21"/>
  </sortState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36147-C580-4E12-8127-CE35A43F0181}">
  <dimension ref="A1:Q58"/>
  <sheetViews>
    <sheetView workbookViewId="0">
      <selection activeCell="A61" sqref="A61"/>
    </sheetView>
  </sheetViews>
  <sheetFormatPr defaultRowHeight="15" x14ac:dyDescent="0.25"/>
  <cols>
    <col min="1" max="1" width="34.28515625" customWidth="1"/>
    <col min="2" max="2" width="14.42578125" bestFit="1" customWidth="1"/>
    <col min="3" max="3" width="14.140625" bestFit="1" customWidth="1"/>
    <col min="4" max="4" width="14.42578125" bestFit="1" customWidth="1"/>
    <col min="5" max="5" width="13.7109375" bestFit="1" customWidth="1"/>
    <col min="6" max="6" width="12.7109375" bestFit="1" customWidth="1"/>
    <col min="7" max="7" width="18.5703125" bestFit="1" customWidth="1"/>
    <col min="8" max="8" width="12.5703125" bestFit="1" customWidth="1"/>
    <col min="9" max="9" width="7.28515625" bestFit="1" customWidth="1"/>
    <col min="10" max="11" width="12" bestFit="1" customWidth="1"/>
    <col min="12" max="12" width="8.5703125" customWidth="1"/>
    <col min="13" max="13" width="12" bestFit="1" customWidth="1"/>
    <col min="14" max="14" width="12.140625" bestFit="1" customWidth="1"/>
    <col min="15" max="15" width="8.5703125" customWidth="1"/>
    <col min="16" max="16" width="12.5703125" bestFit="1" customWidth="1"/>
    <col min="17" max="17" width="18.28515625" bestFit="1" customWidth="1"/>
    <col min="18" max="18" width="11.7109375" bestFit="1" customWidth="1"/>
    <col min="19" max="19" width="7.28515625" bestFit="1" customWidth="1"/>
    <col min="20" max="20" width="12" bestFit="1" customWidth="1"/>
    <col min="21" max="21" width="11.7109375" bestFit="1" customWidth="1"/>
    <col min="22" max="22" width="8" bestFit="1" customWidth="1"/>
    <col min="23" max="23" width="12" bestFit="1" customWidth="1"/>
    <col min="24" max="24" width="11.7109375" bestFit="1" customWidth="1"/>
    <col min="25" max="25" width="8" bestFit="1" customWidth="1"/>
    <col min="26" max="26" width="12" bestFit="1" customWidth="1"/>
  </cols>
  <sheetData>
    <row r="1" spans="1:17" s="2" customFormat="1" ht="60" x14ac:dyDescent="0.25">
      <c r="B1" s="2" t="s">
        <v>59</v>
      </c>
      <c r="C1" s="2" t="s">
        <v>60</v>
      </c>
      <c r="D1" s="2" t="s">
        <v>61</v>
      </c>
      <c r="E1" s="4"/>
      <c r="F1" s="2" t="s">
        <v>196</v>
      </c>
      <c r="G1" s="2" t="s">
        <v>197</v>
      </c>
      <c r="H1" s="2" t="s">
        <v>198</v>
      </c>
      <c r="I1" s="4"/>
      <c r="J1" s="2" t="s">
        <v>199</v>
      </c>
      <c r="K1" s="2" t="s">
        <v>200</v>
      </c>
      <c r="L1" s="2" t="s">
        <v>201</v>
      </c>
      <c r="M1" s="4"/>
      <c r="N1" s="2" t="s">
        <v>202</v>
      </c>
      <c r="O1" s="2" t="s">
        <v>203</v>
      </c>
      <c r="P1" s="2" t="s">
        <v>204</v>
      </c>
    </row>
    <row r="2" spans="1:17" x14ac:dyDescent="0.25">
      <c r="A2" t="s">
        <v>82</v>
      </c>
      <c r="B2" s="54">
        <v>221109</v>
      </c>
      <c r="C2" s="54">
        <v>228712</v>
      </c>
      <c r="D2" s="54">
        <v>239650</v>
      </c>
      <c r="E2" s="5"/>
      <c r="F2" s="54">
        <v>8937</v>
      </c>
      <c r="G2" s="54">
        <v>16543</v>
      </c>
      <c r="H2" s="54">
        <v>16209</v>
      </c>
      <c r="I2" s="5"/>
      <c r="J2" s="54">
        <v>1075</v>
      </c>
      <c r="K2" s="54">
        <v>1119</v>
      </c>
      <c r="L2" s="54">
        <v>1022</v>
      </c>
      <c r="M2" s="5"/>
      <c r="N2" s="54">
        <v>2536</v>
      </c>
      <c r="O2" s="54">
        <v>2806</v>
      </c>
      <c r="P2" s="54">
        <v>3057</v>
      </c>
    </row>
    <row r="3" spans="1:17" x14ac:dyDescent="0.25">
      <c r="A3" t="s">
        <v>184</v>
      </c>
      <c r="B3" s="69">
        <v>151233</v>
      </c>
      <c r="C3" s="69">
        <v>147111</v>
      </c>
      <c r="D3" s="69">
        <v>153797</v>
      </c>
      <c r="E3" s="62"/>
      <c r="F3" s="69">
        <v>6378</v>
      </c>
      <c r="G3" s="69">
        <v>11272</v>
      </c>
      <c r="H3" s="69">
        <v>10584</v>
      </c>
      <c r="I3" s="62"/>
      <c r="J3" s="69">
        <v>817</v>
      </c>
      <c r="K3" s="69">
        <v>727</v>
      </c>
      <c r="L3" s="69">
        <v>703</v>
      </c>
      <c r="M3" s="5"/>
      <c r="N3" s="69">
        <v>1734</v>
      </c>
      <c r="O3" s="69">
        <v>2154</v>
      </c>
      <c r="P3" s="69">
        <v>2160</v>
      </c>
      <c r="Q3" s="67"/>
    </row>
    <row r="4" spans="1:17" x14ac:dyDescent="0.25">
      <c r="A4" t="s">
        <v>185</v>
      </c>
      <c r="B4" s="69">
        <v>142675</v>
      </c>
      <c r="C4" s="69">
        <v>133958</v>
      </c>
      <c r="D4" s="69">
        <v>143566</v>
      </c>
      <c r="E4" s="62"/>
      <c r="F4" s="69">
        <v>6213</v>
      </c>
      <c r="G4" s="69">
        <v>10626</v>
      </c>
      <c r="H4" s="69">
        <v>10236</v>
      </c>
      <c r="I4" s="62"/>
      <c r="J4" s="69">
        <v>784</v>
      </c>
      <c r="K4" s="69">
        <v>689</v>
      </c>
      <c r="L4" s="69">
        <v>655</v>
      </c>
      <c r="M4" s="5"/>
      <c r="N4" s="69">
        <v>1681</v>
      </c>
      <c r="O4" s="69">
        <v>2099</v>
      </c>
      <c r="P4" s="69">
        <v>2099</v>
      </c>
      <c r="Q4" s="67"/>
    </row>
    <row r="5" spans="1:17" x14ac:dyDescent="0.25">
      <c r="A5" t="s">
        <v>222</v>
      </c>
      <c r="B5" s="70">
        <f>B4/B3</f>
        <v>0.94341182149398606</v>
      </c>
      <c r="C5" s="70">
        <f t="shared" ref="C5:D5" si="0">C4/C3</f>
        <v>0.91059132219888383</v>
      </c>
      <c r="D5" s="70">
        <f t="shared" si="0"/>
        <v>0.93347724598009063</v>
      </c>
      <c r="E5" s="62"/>
      <c r="F5" s="70">
        <f>F4/F3</f>
        <v>0.97412982126058323</v>
      </c>
      <c r="G5" s="70">
        <f t="shared" ref="G5:H5" si="1">G4/G3</f>
        <v>0.9426898509581263</v>
      </c>
      <c r="H5" s="70">
        <f t="shared" si="1"/>
        <v>0.96712018140589573</v>
      </c>
      <c r="I5" s="62"/>
      <c r="J5" s="70">
        <f>J4/J3</f>
        <v>0.95960832313341493</v>
      </c>
      <c r="K5" s="70">
        <f t="shared" ref="K5:L5" si="2">K4/K3</f>
        <v>0.94773039889958732</v>
      </c>
      <c r="L5" s="70">
        <f t="shared" si="2"/>
        <v>0.93172119487908966</v>
      </c>
      <c r="M5" s="5"/>
      <c r="N5" s="70">
        <f>N4/N3</f>
        <v>0.96943483275663211</v>
      </c>
      <c r="O5" s="70">
        <f t="shared" ref="O5:P5" si="3">O4/O3</f>
        <v>0.97446610956360258</v>
      </c>
      <c r="P5" s="70">
        <f t="shared" si="3"/>
        <v>0.97175925925925921</v>
      </c>
      <c r="Q5" s="67"/>
    </row>
    <row r="6" spans="1:17" x14ac:dyDescent="0.25">
      <c r="A6" t="s">
        <v>186</v>
      </c>
      <c r="B6" s="8" t="s">
        <v>78</v>
      </c>
      <c r="C6" s="9" t="s">
        <v>79</v>
      </c>
      <c r="D6" s="9" t="s">
        <v>80</v>
      </c>
      <c r="E6" s="62"/>
      <c r="F6" s="8" t="s">
        <v>187</v>
      </c>
      <c r="G6" s="9" t="s">
        <v>188</v>
      </c>
      <c r="H6" s="9" t="s">
        <v>189</v>
      </c>
      <c r="I6" s="62"/>
      <c r="J6" s="8" t="s">
        <v>190</v>
      </c>
      <c r="K6" s="9" t="s">
        <v>191</v>
      </c>
      <c r="L6" s="9" t="s">
        <v>192</v>
      </c>
      <c r="M6" s="5"/>
      <c r="N6" s="8" t="s">
        <v>193</v>
      </c>
      <c r="O6" s="9" t="s">
        <v>194</v>
      </c>
      <c r="P6" s="9" t="s">
        <v>195</v>
      </c>
    </row>
    <row r="7" spans="1:17" x14ac:dyDescent="0.25">
      <c r="A7" t="s">
        <v>208</v>
      </c>
      <c r="B7" s="57">
        <v>53170</v>
      </c>
      <c r="C7" s="57">
        <v>59947</v>
      </c>
      <c r="D7" s="57">
        <v>72682</v>
      </c>
      <c r="E7" s="5"/>
      <c r="F7" s="57">
        <v>62539</v>
      </c>
      <c r="G7" s="57">
        <v>74441</v>
      </c>
      <c r="H7" s="57">
        <v>102027</v>
      </c>
      <c r="I7" s="5"/>
      <c r="J7" s="57">
        <v>47136</v>
      </c>
      <c r="K7" s="57">
        <v>58185</v>
      </c>
      <c r="L7" s="86">
        <v>80145</v>
      </c>
      <c r="M7" s="5"/>
      <c r="N7" s="57">
        <v>51560</v>
      </c>
      <c r="O7" s="86">
        <v>70278</v>
      </c>
      <c r="P7" s="57">
        <v>96731</v>
      </c>
    </row>
    <row r="8" spans="1:17" x14ac:dyDescent="0.25">
      <c r="A8" t="s">
        <v>209</v>
      </c>
      <c r="B8" s="57">
        <v>65609</v>
      </c>
      <c r="C8" s="57">
        <v>75704</v>
      </c>
      <c r="D8" s="57">
        <v>93440</v>
      </c>
      <c r="E8" s="5"/>
      <c r="F8" s="57">
        <v>82870</v>
      </c>
      <c r="G8" s="57">
        <v>99356</v>
      </c>
      <c r="H8" s="57">
        <v>138138</v>
      </c>
      <c r="I8" s="5"/>
      <c r="J8" s="57">
        <v>50850</v>
      </c>
      <c r="K8" s="57">
        <v>67150</v>
      </c>
      <c r="L8" s="86">
        <v>96538</v>
      </c>
      <c r="M8" s="5"/>
      <c r="N8" s="57">
        <v>60002</v>
      </c>
      <c r="O8" s="86">
        <v>85383</v>
      </c>
      <c r="P8" s="57">
        <v>118710</v>
      </c>
    </row>
    <row r="9" spans="1:17" x14ac:dyDescent="0.25">
      <c r="A9" t="s">
        <v>210</v>
      </c>
      <c r="B9" s="57">
        <v>21079</v>
      </c>
      <c r="C9" s="57">
        <v>22883</v>
      </c>
      <c r="D9" s="57">
        <v>29380</v>
      </c>
      <c r="E9" s="5"/>
      <c r="F9" s="57">
        <v>28686</v>
      </c>
      <c r="G9" s="57">
        <v>34914</v>
      </c>
      <c r="H9" s="57">
        <v>47228</v>
      </c>
      <c r="I9" s="5"/>
      <c r="J9" s="57">
        <v>17663</v>
      </c>
      <c r="K9" s="57">
        <v>21683</v>
      </c>
      <c r="L9" s="86">
        <v>31420</v>
      </c>
      <c r="M9" s="5"/>
      <c r="N9" s="57">
        <v>22798</v>
      </c>
      <c r="O9" s="86">
        <v>30690</v>
      </c>
      <c r="P9" s="57">
        <v>41413</v>
      </c>
    </row>
    <row r="14" spans="1:17" x14ac:dyDescent="0.25">
      <c r="C14" t="s">
        <v>205</v>
      </c>
      <c r="D14" t="s">
        <v>206</v>
      </c>
      <c r="E14" t="s">
        <v>207</v>
      </c>
    </row>
    <row r="15" spans="1:17" x14ac:dyDescent="0.25">
      <c r="A15">
        <v>2000</v>
      </c>
      <c r="B15" t="s">
        <v>72</v>
      </c>
      <c r="C15" s="57">
        <v>51560</v>
      </c>
      <c r="D15" s="57">
        <v>60002</v>
      </c>
      <c r="E15" s="57">
        <v>22798</v>
      </c>
    </row>
    <row r="16" spans="1:17" x14ac:dyDescent="0.25">
      <c r="B16" t="s">
        <v>73</v>
      </c>
      <c r="C16" s="57">
        <v>62539</v>
      </c>
      <c r="D16" s="57">
        <v>82870</v>
      </c>
      <c r="E16" s="57">
        <v>28686</v>
      </c>
    </row>
    <row r="17" spans="1:16" x14ac:dyDescent="0.25">
      <c r="B17" t="s">
        <v>74</v>
      </c>
      <c r="C17" s="57">
        <v>47136</v>
      </c>
      <c r="D17" s="57">
        <v>50850</v>
      </c>
      <c r="E17" s="57">
        <v>17663</v>
      </c>
    </row>
    <row r="18" spans="1:16" x14ac:dyDescent="0.25">
      <c r="B18" t="s">
        <v>71</v>
      </c>
      <c r="C18" s="57">
        <v>53170</v>
      </c>
      <c r="D18" s="57">
        <v>65609</v>
      </c>
      <c r="E18" s="57">
        <v>21079</v>
      </c>
    </row>
    <row r="19" spans="1:16" x14ac:dyDescent="0.25">
      <c r="A19">
        <v>2010</v>
      </c>
      <c r="B19" t="s">
        <v>72</v>
      </c>
      <c r="C19" s="57">
        <v>70278</v>
      </c>
      <c r="D19" s="57">
        <v>85383</v>
      </c>
      <c r="E19" s="57">
        <v>30690</v>
      </c>
    </row>
    <row r="20" spans="1:16" x14ac:dyDescent="0.25">
      <c r="B20" t="s">
        <v>73</v>
      </c>
      <c r="C20" s="57">
        <v>74441</v>
      </c>
      <c r="D20" s="57">
        <v>99356</v>
      </c>
      <c r="E20" s="57">
        <v>34914</v>
      </c>
    </row>
    <row r="21" spans="1:16" x14ac:dyDescent="0.25">
      <c r="B21" t="s">
        <v>74</v>
      </c>
      <c r="C21" s="57">
        <v>58185</v>
      </c>
      <c r="D21" s="57">
        <v>67150</v>
      </c>
      <c r="E21" s="57">
        <v>21683</v>
      </c>
    </row>
    <row r="22" spans="1:16" x14ac:dyDescent="0.25">
      <c r="B22" t="s">
        <v>71</v>
      </c>
      <c r="C22" s="57">
        <v>59947</v>
      </c>
      <c r="D22" s="57">
        <v>75704</v>
      </c>
      <c r="E22" s="57">
        <v>22883</v>
      </c>
    </row>
    <row r="23" spans="1:16" x14ac:dyDescent="0.25">
      <c r="A23">
        <v>2019</v>
      </c>
      <c r="B23" t="s">
        <v>72</v>
      </c>
      <c r="C23" s="57">
        <v>96731</v>
      </c>
      <c r="D23" s="57">
        <v>118710</v>
      </c>
      <c r="E23" s="57">
        <v>41413</v>
      </c>
    </row>
    <row r="24" spans="1:16" x14ac:dyDescent="0.25">
      <c r="B24" t="s">
        <v>73</v>
      </c>
      <c r="C24" s="57">
        <v>102027</v>
      </c>
      <c r="D24" s="57">
        <v>138138</v>
      </c>
      <c r="E24" s="57">
        <v>47228</v>
      </c>
    </row>
    <row r="25" spans="1:16" x14ac:dyDescent="0.25">
      <c r="B25" t="s">
        <v>74</v>
      </c>
      <c r="C25" s="57">
        <v>80145</v>
      </c>
      <c r="D25" s="57">
        <v>96538</v>
      </c>
      <c r="E25" s="57">
        <v>31420</v>
      </c>
    </row>
    <row r="26" spans="1:16" x14ac:dyDescent="0.25">
      <c r="B26" t="s">
        <v>71</v>
      </c>
      <c r="C26" s="57">
        <v>72682</v>
      </c>
      <c r="D26" s="57">
        <v>93440</v>
      </c>
      <c r="E26" s="57">
        <v>29380</v>
      </c>
    </row>
    <row r="27" spans="1:16" x14ac:dyDescent="0.25">
      <c r="C27" s="57"/>
      <c r="D27" s="57"/>
      <c r="E27" s="57"/>
    </row>
    <row r="29" spans="1:16" x14ac:dyDescent="0.25">
      <c r="A29" t="s">
        <v>232</v>
      </c>
      <c r="B29" t="s">
        <v>72</v>
      </c>
      <c r="C29" t="s">
        <v>73</v>
      </c>
      <c r="D29" t="s">
        <v>74</v>
      </c>
      <c r="E29" t="s">
        <v>71</v>
      </c>
    </row>
    <row r="30" spans="1:16" x14ac:dyDescent="0.25">
      <c r="A30" t="s">
        <v>48</v>
      </c>
      <c r="B30" s="63">
        <v>0</v>
      </c>
      <c r="C30" s="63">
        <v>3.4193044157874168E-3</v>
      </c>
      <c r="D30" s="63">
        <v>1.0687022900763359E-2</v>
      </c>
      <c r="E30" s="63">
        <v>5.9345527492581807E-3</v>
      </c>
      <c r="G30" s="64"/>
      <c r="H30" s="93">
        <v>2000</v>
      </c>
      <c r="I30" s="94"/>
      <c r="J30" s="95"/>
      <c r="K30" s="92">
        <v>2010</v>
      </c>
      <c r="L30" s="92"/>
      <c r="M30" s="92"/>
      <c r="N30" s="92">
        <v>2019</v>
      </c>
      <c r="O30" s="92"/>
      <c r="P30" s="92"/>
    </row>
    <row r="31" spans="1:16" x14ac:dyDescent="0.25">
      <c r="A31" t="s">
        <v>34</v>
      </c>
      <c r="B31" s="63">
        <v>2.7632205812291567E-2</v>
      </c>
      <c r="C31" s="63">
        <v>2.9210629152012505E-2</v>
      </c>
      <c r="D31" s="63">
        <v>6.4122137404580157E-2</v>
      </c>
      <c r="E31" s="63">
        <v>3.6387445495451566E-2</v>
      </c>
      <c r="G31" s="64"/>
      <c r="H31" s="76" t="s">
        <v>72</v>
      </c>
      <c r="I31" s="79" t="s">
        <v>73</v>
      </c>
      <c r="J31" s="73" t="s">
        <v>74</v>
      </c>
      <c r="K31" s="76" t="s">
        <v>72</v>
      </c>
      <c r="L31" s="79" t="s">
        <v>73</v>
      </c>
      <c r="M31" s="73" t="s">
        <v>74</v>
      </c>
      <c r="N31" s="76" t="s">
        <v>72</v>
      </c>
      <c r="O31" s="79" t="s">
        <v>73</v>
      </c>
      <c r="P31" s="73" t="s">
        <v>74</v>
      </c>
    </row>
    <row r="32" spans="1:16" x14ac:dyDescent="0.25">
      <c r="A32" t="s">
        <v>49</v>
      </c>
      <c r="B32" s="63">
        <v>0.10671748451643639</v>
      </c>
      <c r="C32" s="63">
        <v>5.9105119187182496E-2</v>
      </c>
      <c r="D32" s="63">
        <v>0.2</v>
      </c>
      <c r="E32" s="63">
        <v>9.4674226488165716E-2</v>
      </c>
      <c r="F32" s="63"/>
      <c r="G32" s="64" t="s">
        <v>221</v>
      </c>
      <c r="H32" s="77">
        <v>1734</v>
      </c>
      <c r="I32" s="80">
        <v>6378</v>
      </c>
      <c r="J32" s="74">
        <v>817</v>
      </c>
      <c r="K32" s="77">
        <v>2154</v>
      </c>
      <c r="L32" s="80">
        <v>11272</v>
      </c>
      <c r="M32" s="74">
        <v>727</v>
      </c>
      <c r="N32" s="77">
        <v>2160</v>
      </c>
      <c r="O32" s="80">
        <v>10584</v>
      </c>
      <c r="P32" s="74">
        <v>703</v>
      </c>
    </row>
    <row r="33" spans="1:16" x14ac:dyDescent="0.25">
      <c r="A33" t="s">
        <v>50</v>
      </c>
      <c r="B33" s="63">
        <v>4.5259647451167222E-2</v>
      </c>
      <c r="C33" s="63">
        <v>2.2958186791715515E-2</v>
      </c>
      <c r="D33" s="63">
        <v>4.8854961832061068E-2</v>
      </c>
      <c r="E33" s="63">
        <v>1.8632545310170931E-2</v>
      </c>
      <c r="F33" s="63"/>
      <c r="G33" s="64" t="s">
        <v>220</v>
      </c>
      <c r="H33" s="83">
        <v>0.96899999999999997</v>
      </c>
      <c r="I33" s="84">
        <v>0.97399999999999998</v>
      </c>
      <c r="J33" s="82">
        <v>0.96</v>
      </c>
      <c r="K33" s="83">
        <v>0.97399999999999998</v>
      </c>
      <c r="L33" s="84">
        <v>0.94299999999999995</v>
      </c>
      <c r="M33" s="82">
        <v>0.94799999999999995</v>
      </c>
      <c r="N33" s="83">
        <v>0.97099999999999997</v>
      </c>
      <c r="O33" s="84">
        <v>0.96699999999999997</v>
      </c>
      <c r="P33" s="82">
        <v>0.93200000000000005</v>
      </c>
    </row>
    <row r="34" spans="1:16" x14ac:dyDescent="0.25">
      <c r="A34" t="s">
        <v>51</v>
      </c>
      <c r="B34" s="63">
        <v>0.10290614578370652</v>
      </c>
      <c r="C34" s="63">
        <v>9.2809691285658455E-2</v>
      </c>
      <c r="D34" s="63">
        <v>0.11297709923664122</v>
      </c>
      <c r="E34" s="63">
        <v>0.10252427454968446</v>
      </c>
      <c r="G34" s="64" t="s">
        <v>223</v>
      </c>
      <c r="H34" s="83">
        <v>3.1E-2</v>
      </c>
      <c r="I34" s="84">
        <v>2.5999999999999999E-2</v>
      </c>
      <c r="J34" s="82">
        <v>0.04</v>
      </c>
      <c r="K34" s="83">
        <v>2.5999999999999999E-2</v>
      </c>
      <c r="L34" s="84">
        <v>5.3999999999999999E-2</v>
      </c>
      <c r="M34" s="82">
        <v>5.1999999999999998E-2</v>
      </c>
      <c r="N34" s="83">
        <v>2.8000000000000001E-2</v>
      </c>
      <c r="O34" s="84">
        <v>3.3000000000000002E-2</v>
      </c>
      <c r="P34" s="82">
        <v>6.8000000000000005E-2</v>
      </c>
    </row>
    <row r="35" spans="1:16" x14ac:dyDescent="0.25">
      <c r="A35" t="s">
        <v>35</v>
      </c>
      <c r="B35" s="63">
        <v>1.7627441638875654E-2</v>
      </c>
      <c r="C35" s="63">
        <v>2.9112934740132865E-2</v>
      </c>
      <c r="D35" s="63">
        <v>2.9007633587786259E-2</v>
      </c>
      <c r="E35" s="63">
        <v>3.9960714932504908E-2</v>
      </c>
      <c r="F35" s="63"/>
    </row>
    <row r="36" spans="1:16" x14ac:dyDescent="0.25">
      <c r="A36" t="s">
        <v>52</v>
      </c>
      <c r="B36" s="63">
        <v>8.0990948070509775E-3</v>
      </c>
      <c r="C36" s="63">
        <v>1.6901133255177805E-2</v>
      </c>
      <c r="D36" s="63">
        <v>2.1374045801526718E-2</v>
      </c>
      <c r="E36" s="63">
        <v>1.4209492498223814E-2</v>
      </c>
      <c r="F36" s="63"/>
    </row>
    <row r="37" spans="1:16" x14ac:dyDescent="0.25">
      <c r="A37" t="s">
        <v>53</v>
      </c>
      <c r="B37" s="63">
        <v>0.11862791805621725</v>
      </c>
      <c r="C37" s="63">
        <v>7.9523251270027351E-2</v>
      </c>
      <c r="D37" s="63">
        <v>7.0229007633587789E-2</v>
      </c>
      <c r="E37" s="63">
        <v>7.2008692865998911E-2</v>
      </c>
    </row>
    <row r="38" spans="1:16" x14ac:dyDescent="0.25">
      <c r="A38" t="s">
        <v>54</v>
      </c>
      <c r="B38" s="63">
        <v>9.1472129585516912E-2</v>
      </c>
      <c r="C38" s="63">
        <v>0.1247557639703009</v>
      </c>
      <c r="D38" s="63">
        <v>4.2748091603053436E-2</v>
      </c>
      <c r="E38" s="63">
        <v>9.6798684925400169E-2</v>
      </c>
    </row>
    <row r="39" spans="1:16" x14ac:dyDescent="0.25">
      <c r="A39" t="s">
        <v>55</v>
      </c>
      <c r="B39" s="63">
        <v>0.25059552167698906</v>
      </c>
      <c r="C39" s="63">
        <v>0.32952325127002735</v>
      </c>
      <c r="D39" s="63">
        <v>0.15267175572519084</v>
      </c>
      <c r="E39" s="63">
        <v>0.28941392808882327</v>
      </c>
    </row>
    <row r="40" spans="1:16" x14ac:dyDescent="0.25">
      <c r="A40" t="s">
        <v>56</v>
      </c>
      <c r="B40" s="63">
        <v>5.145307289185326E-2</v>
      </c>
      <c r="C40" s="63">
        <v>7.2586948026572881E-2</v>
      </c>
      <c r="D40" s="63">
        <v>0.13587786259541984</v>
      </c>
      <c r="E40" s="63">
        <v>0.11092459217363443</v>
      </c>
    </row>
    <row r="41" spans="1:16" x14ac:dyDescent="0.25">
      <c r="A41" t="s">
        <v>8</v>
      </c>
      <c r="B41" s="63">
        <v>5.9075750357313009E-2</v>
      </c>
      <c r="C41" s="63">
        <v>4.7870261821023836E-2</v>
      </c>
      <c r="D41" s="63">
        <v>4.5801526717557252E-2</v>
      </c>
      <c r="E41" s="63">
        <v>4.8918267556385217E-2</v>
      </c>
    </row>
    <row r="42" spans="1:16" x14ac:dyDescent="0.25">
      <c r="A42" t="s">
        <v>57</v>
      </c>
      <c r="B42" s="63">
        <v>0.12053358742258218</v>
      </c>
      <c r="C42" s="63">
        <v>9.222352481438062E-2</v>
      </c>
      <c r="D42" s="63">
        <v>6.5648854961832065E-2</v>
      </c>
      <c r="E42" s="63">
        <v>6.9612582366298428E-2</v>
      </c>
    </row>
    <row r="43" spans="1:16" x14ac:dyDescent="0.25">
      <c r="A43" s="6"/>
      <c r="B43" s="63"/>
    </row>
    <row r="44" spans="1:16" x14ac:dyDescent="0.25">
      <c r="A44" t="s">
        <v>233</v>
      </c>
    </row>
    <row r="45" spans="1:16" x14ac:dyDescent="0.25">
      <c r="A45" t="s">
        <v>224</v>
      </c>
      <c r="B45" t="s">
        <v>72</v>
      </c>
      <c r="C45" t="s">
        <v>73</v>
      </c>
      <c r="D45" t="s">
        <v>74</v>
      </c>
      <c r="E45" t="s">
        <v>71</v>
      </c>
    </row>
    <row r="46" spans="1:16" x14ac:dyDescent="0.25">
      <c r="A46" t="s">
        <v>48</v>
      </c>
      <c r="B46" s="63">
        <v>0</v>
      </c>
      <c r="C46" s="63">
        <v>3.4193044157874168E-3</v>
      </c>
      <c r="D46" s="63">
        <v>1.0687022900763359E-2</v>
      </c>
      <c r="E46" s="63">
        <v>5.9345527492581807E-3</v>
      </c>
    </row>
    <row r="47" spans="1:16" x14ac:dyDescent="0.25">
      <c r="A47" t="s">
        <v>52</v>
      </c>
      <c r="B47" s="63">
        <v>8.0990948070509775E-3</v>
      </c>
      <c r="C47" s="63">
        <v>1.6901133255177805E-2</v>
      </c>
      <c r="D47" s="63">
        <v>2.1374045801526718E-2</v>
      </c>
      <c r="E47" s="63">
        <v>1.4209492498223814E-2</v>
      </c>
    </row>
    <row r="48" spans="1:16" x14ac:dyDescent="0.25">
      <c r="A48" t="s">
        <v>35</v>
      </c>
      <c r="B48" s="63">
        <v>1.7627441638875654E-2</v>
      </c>
      <c r="C48" s="63">
        <v>2.9112934740132865E-2</v>
      </c>
      <c r="D48" s="63">
        <v>2.9007633587786259E-2</v>
      </c>
      <c r="E48" s="63">
        <v>3.9960714932504908E-2</v>
      </c>
    </row>
    <row r="49" spans="1:5" x14ac:dyDescent="0.25">
      <c r="A49" t="s">
        <v>34</v>
      </c>
      <c r="B49" s="63">
        <v>2.7632205812291567E-2</v>
      </c>
      <c r="C49" s="63">
        <v>2.9210629152012505E-2</v>
      </c>
      <c r="D49" s="63">
        <v>6.4122137404580157E-2</v>
      </c>
      <c r="E49" s="63">
        <v>3.6387445495451566E-2</v>
      </c>
    </row>
    <row r="50" spans="1:5" x14ac:dyDescent="0.25">
      <c r="A50" t="s">
        <v>50</v>
      </c>
      <c r="B50" s="63">
        <v>4.5259647451167222E-2</v>
      </c>
      <c r="C50" s="63">
        <v>2.2958186791715515E-2</v>
      </c>
      <c r="D50" s="63">
        <v>4.8854961832061068E-2</v>
      </c>
      <c r="E50" s="63">
        <v>1.8632545310170931E-2</v>
      </c>
    </row>
    <row r="51" spans="1:5" x14ac:dyDescent="0.25">
      <c r="A51" t="s">
        <v>56</v>
      </c>
      <c r="B51" s="63">
        <v>5.145307289185326E-2</v>
      </c>
      <c r="C51" s="63">
        <v>7.2586948026572881E-2</v>
      </c>
      <c r="D51" s="63">
        <v>0.13587786259541984</v>
      </c>
      <c r="E51" s="63">
        <v>0.11092459217363443</v>
      </c>
    </row>
    <row r="52" spans="1:5" x14ac:dyDescent="0.25">
      <c r="A52" t="s">
        <v>8</v>
      </c>
      <c r="B52" s="63">
        <v>5.9075750357313009E-2</v>
      </c>
      <c r="C52" s="63">
        <v>4.7870261821023836E-2</v>
      </c>
      <c r="D52" s="63">
        <v>4.5801526717557252E-2</v>
      </c>
      <c r="E52" s="63">
        <v>4.8918267556385217E-2</v>
      </c>
    </row>
    <row r="53" spans="1:5" x14ac:dyDescent="0.25">
      <c r="A53" t="s">
        <v>54</v>
      </c>
      <c r="B53" s="63">
        <v>9.1472129585516912E-2</v>
      </c>
      <c r="C53" s="63">
        <v>0.1247557639703009</v>
      </c>
      <c r="D53" s="63">
        <v>4.2748091603053436E-2</v>
      </c>
      <c r="E53" s="63">
        <v>9.6798684925400169E-2</v>
      </c>
    </row>
    <row r="54" spans="1:5" x14ac:dyDescent="0.25">
      <c r="A54" t="s">
        <v>51</v>
      </c>
      <c r="B54" s="63">
        <v>0.10290614578370652</v>
      </c>
      <c r="C54" s="63">
        <v>9.2809691285658455E-2</v>
      </c>
      <c r="D54" s="63">
        <v>0.11297709923664122</v>
      </c>
      <c r="E54" s="63">
        <v>0.10252427454968446</v>
      </c>
    </row>
    <row r="55" spans="1:5" x14ac:dyDescent="0.25">
      <c r="A55" t="s">
        <v>49</v>
      </c>
      <c r="B55" s="63">
        <v>0.10671748451643639</v>
      </c>
      <c r="C55" s="63">
        <v>5.9105119187182496E-2</v>
      </c>
      <c r="D55" s="63">
        <v>0.2</v>
      </c>
      <c r="E55" s="63">
        <v>9.4674226488165716E-2</v>
      </c>
    </row>
    <row r="56" spans="1:5" x14ac:dyDescent="0.25">
      <c r="A56" t="s">
        <v>53</v>
      </c>
      <c r="B56" s="63">
        <v>0.11862791805621725</v>
      </c>
      <c r="C56" s="63">
        <v>7.9523251270027351E-2</v>
      </c>
      <c r="D56" s="63">
        <v>7.0229007633587789E-2</v>
      </c>
      <c r="E56" s="63">
        <v>7.2008692865998911E-2</v>
      </c>
    </row>
    <row r="57" spans="1:5" x14ac:dyDescent="0.25">
      <c r="A57" t="s">
        <v>57</v>
      </c>
      <c r="B57" s="63">
        <v>0.12053358742258218</v>
      </c>
      <c r="C57" s="63">
        <v>9.222352481438062E-2</v>
      </c>
      <c r="D57" s="63">
        <v>6.5648854961832065E-2</v>
      </c>
      <c r="E57" s="63">
        <v>6.9612582366298428E-2</v>
      </c>
    </row>
    <row r="58" spans="1:5" x14ac:dyDescent="0.25">
      <c r="A58" t="s">
        <v>55</v>
      </c>
      <c r="B58" s="63">
        <v>0.25059552167698906</v>
      </c>
      <c r="C58" s="63">
        <v>0.32952325127002735</v>
      </c>
      <c r="D58" s="63">
        <v>0.15267175572519084</v>
      </c>
      <c r="E58" s="63">
        <v>0.28941392808882327</v>
      </c>
    </row>
  </sheetData>
  <mergeCells count="3">
    <mergeCell ref="H30:J30"/>
    <mergeCell ref="K30:M30"/>
    <mergeCell ref="N30:P3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All Data</vt:lpstr>
      <vt:lpstr>Demographic</vt:lpstr>
      <vt:lpstr>Housing</vt:lpstr>
      <vt:lpstr>Education</vt:lpstr>
      <vt:lpstr>Economic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Kotval-Karamchandani, Zeenat</dc:creator>
  <cp:lastModifiedBy>Hetherington</cp:lastModifiedBy>
  <dcterms:created xsi:type="dcterms:W3CDTF">2021-02-05T14:09:31Z</dcterms:created>
  <dcterms:modified xsi:type="dcterms:W3CDTF">2021-02-28T18:00:48Z</dcterms:modified>
</cp:coreProperties>
</file>